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70" windowHeight="6540" activeTab="1"/>
  </bookViews>
  <sheets>
    <sheet name="Design Data" sheetId="1" r:id="rId1"/>
    <sheet name="Flight Weight &amp; Balance Data" sheetId="2" r:id="rId2"/>
  </sheets>
  <definedNames>
    <definedName name="_xlnm.Print_Area" localSheetId="0">'Design Data'!$A:$IV</definedName>
    <definedName name="_xlnm.Print_Area" localSheetId="1">'Flight Weight &amp; Balance Data'!$B$2:$I$51</definedName>
  </definedNames>
  <calcPr fullCalcOnLoad="1"/>
</workbook>
</file>

<file path=xl/comments1.xml><?xml version="1.0" encoding="utf-8"?>
<comments xmlns="http://schemas.openxmlformats.org/spreadsheetml/2006/main">
  <authors>
    <author>Ralph Shultz</author>
  </authors>
  <commentList>
    <comment ref="F4" authorId="0">
      <text>
        <r>
          <rPr>
            <b/>
            <sz val="8"/>
            <rFont val="Tahoma"/>
            <family val="0"/>
          </rPr>
          <t>Ralph Shultz:</t>
        </r>
        <r>
          <rPr>
            <sz val="8"/>
            <rFont val="Tahoma"/>
            <family val="0"/>
          </rPr>
          <t xml:space="preserve">
L.E. Front Spar to T. E. Rear Spar.</t>
        </r>
      </text>
    </comment>
    <comment ref="N6" authorId="0">
      <text>
        <r>
          <rPr>
            <b/>
            <sz val="8"/>
            <rFont val="Tahoma"/>
            <family val="0"/>
          </rPr>
          <t>Ralph Shultz:</t>
        </r>
        <r>
          <rPr>
            <sz val="8"/>
            <rFont val="Tahoma"/>
            <family val="0"/>
          </rPr>
          <t xml:space="preserve">
With 35 degrees of flaps
flaps</t>
        </r>
      </text>
    </comment>
  </commentList>
</comments>
</file>

<file path=xl/comments2.xml><?xml version="1.0" encoding="utf-8"?>
<comments xmlns="http://schemas.openxmlformats.org/spreadsheetml/2006/main">
  <authors>
    <author>Ralph Shultz</author>
  </authors>
  <commentList>
    <comment ref="D9" authorId="0">
      <text>
        <r>
          <rPr>
            <b/>
            <sz val="8"/>
            <rFont val="Tahoma"/>
            <family val="0"/>
          </rPr>
          <t>Ralph Shultz:</t>
        </r>
        <r>
          <rPr>
            <sz val="8"/>
            <rFont val="Tahoma"/>
            <family val="0"/>
          </rPr>
          <t xml:space="preserve">
Aircraft must be in normal (Level) flight attitude when taking these distances &amp; weights !</t>
        </r>
      </text>
    </comment>
    <comment ref="C25" authorId="0">
      <text>
        <r>
          <rPr>
            <b/>
            <sz val="8"/>
            <rFont val="Tahoma"/>
            <family val="0"/>
          </rPr>
          <t>Ralph Shultz:</t>
        </r>
        <r>
          <rPr>
            <sz val="8"/>
            <rFont val="Tahoma"/>
            <family val="0"/>
          </rPr>
          <t xml:space="preserve">
This tank is straped into the rear seat.
No passenger can be carried when using this setup.</t>
        </r>
      </text>
    </comment>
    <comment ref="I49" authorId="0">
      <text>
        <r>
          <rPr>
            <b/>
            <sz val="8"/>
            <rFont val="Tahoma"/>
            <family val="0"/>
          </rPr>
          <t>Ralph Shultz:</t>
        </r>
        <r>
          <rPr>
            <sz val="8"/>
            <rFont val="Tahoma"/>
            <family val="0"/>
          </rPr>
          <t xml:space="preserve">
This assumes all fuel burn-off weight is from the Main #1 tank.</t>
        </r>
      </text>
    </comment>
    <comment ref="I45" authorId="0">
      <text>
        <r>
          <rPr>
            <b/>
            <sz val="8"/>
            <rFont val="Tahoma"/>
            <family val="0"/>
          </rPr>
          <t>Ralph Shultz:</t>
        </r>
        <r>
          <rPr>
            <sz val="8"/>
            <rFont val="Tahoma"/>
            <family val="0"/>
          </rPr>
          <t xml:space="preserve">
Based on 85% of the fuel on board, at your est'ed  ground speed &amp; fuel burn-off rates. </t>
        </r>
      </text>
    </comment>
    <comment ref="F45" authorId="0">
      <text>
        <r>
          <rPr>
            <b/>
            <sz val="8"/>
            <rFont val="Tahoma"/>
            <family val="0"/>
          </rPr>
          <t>Ralph Shultz:</t>
        </r>
        <r>
          <rPr>
            <sz val="8"/>
            <rFont val="Tahoma"/>
            <family val="0"/>
          </rPr>
          <t xml:space="preserve">
No reserve!</t>
        </r>
      </text>
    </comment>
  </commentList>
</comments>
</file>

<file path=xl/sharedStrings.xml><?xml version="1.0" encoding="utf-8"?>
<sst xmlns="http://schemas.openxmlformats.org/spreadsheetml/2006/main" count="205" uniqueCount="164">
  <si>
    <t>MPH</t>
  </si>
  <si>
    <t>LBS</t>
  </si>
  <si>
    <t>Prop Eff =</t>
  </si>
  <si>
    <t>Reduction Drive Eff =</t>
  </si>
  <si>
    <t>Aspect Ratio =</t>
  </si>
  <si>
    <t>SQ FT</t>
  </si>
  <si>
    <t>Wing Span =</t>
  </si>
  <si>
    <t>FT</t>
  </si>
  <si>
    <t>Wing Cord =</t>
  </si>
  <si>
    <t>Req'd CL @ Stall =</t>
  </si>
  <si>
    <t>RN =</t>
  </si>
  <si>
    <t>INCHES</t>
  </si>
  <si>
    <t>Prop Pitch =</t>
  </si>
  <si>
    <t xml:space="preserve">        CL @ Landing =</t>
  </si>
  <si>
    <t xml:space="preserve">        CL @ Climb =</t>
  </si>
  <si>
    <t xml:space="preserve">        CL @ Max Spd =</t>
  </si>
  <si>
    <t>CL @ Cruise =</t>
  </si>
  <si>
    <t>Million</t>
  </si>
  <si>
    <t>KNOTS      MPH =</t>
  </si>
  <si>
    <t>FT/MIN</t>
  </si>
  <si>
    <t>(Cruise Prop)</t>
  </si>
  <si>
    <t>(Climb Prop)</t>
  </si>
  <si>
    <t>Max HP Avail. =</t>
  </si>
  <si>
    <t>REF</t>
  </si>
  <si>
    <t>Service Ceiling =</t>
  </si>
  <si>
    <t>Absolute Ceiling =</t>
  </si>
  <si>
    <t>(At Cruise)</t>
  </si>
  <si>
    <t xml:space="preserve"> </t>
  </si>
  <si>
    <t>AIRCRAFT WEIGHT AND BALANCE</t>
  </si>
  <si>
    <t>Aircraft Type:</t>
  </si>
  <si>
    <t>Scale</t>
  </si>
  <si>
    <t xml:space="preserve">C/G </t>
  </si>
  <si>
    <t>5</t>
  </si>
  <si>
    <t>Measured Weights</t>
  </si>
  <si>
    <t>Reading</t>
  </si>
  <si>
    <t>Tare</t>
  </si>
  <si>
    <t>Weight</t>
  </si>
  <si>
    <t>STA</t>
  </si>
  <si>
    <t>Moment</t>
  </si>
  <si>
    <t>Location</t>
  </si>
  <si>
    <t>Left wheel</t>
  </si>
  <si>
    <t>Right wheel</t>
  </si>
  <si>
    <t>Totals:  (Plane's Empty Condition)</t>
  </si>
  <si>
    <t>Payload:</t>
  </si>
  <si>
    <t>Gallons</t>
  </si>
  <si>
    <t>Cord =</t>
  </si>
  <si>
    <t>Name of Owner:</t>
  </si>
  <si>
    <t>Flight Weight =</t>
  </si>
  <si>
    <t>LBS/FT</t>
  </si>
  <si>
    <t>Area =</t>
  </si>
  <si>
    <t>Loading =</t>
  </si>
  <si>
    <t>LBS/HP</t>
  </si>
  <si>
    <t>WL + PL =</t>
  </si>
  <si>
    <t>&gt;30</t>
  </si>
  <si>
    <t>(54x37</t>
  </si>
  <si>
    <t>Actual)</t>
  </si>
  <si>
    <t>S/L ROC =</t>
  </si>
  <si>
    <t>KNOTS     * MPH =</t>
  </si>
  <si>
    <t>PL~Power Loading =</t>
  </si>
  <si>
    <t>Flight Speed (40Min) =</t>
  </si>
  <si>
    <t>Climb (eng)RPM =</t>
  </si>
  <si>
    <t>Cruise (eng)RPM =</t>
  </si>
  <si>
    <t>(At Climb)</t>
  </si>
  <si>
    <t>:1</t>
  </si>
  <si>
    <t>Lbs</t>
  </si>
  <si>
    <t>Inches</t>
  </si>
  <si>
    <t>% MAC =</t>
  </si>
  <si>
    <t>Totals:  (Plane's Loaded Take-off weight)</t>
  </si>
  <si>
    <t>In.</t>
  </si>
  <si>
    <r>
      <t>DATUM</t>
    </r>
    <r>
      <rPr>
        <sz val="10"/>
        <rFont val="Arial"/>
        <family val="0"/>
      </rPr>
      <t xml:space="preserve"> Location: </t>
    </r>
  </si>
  <si>
    <t>Flaperon Cord =</t>
  </si>
  <si>
    <t>Flaperon Span =</t>
  </si>
  <si>
    <t>RPM</t>
  </si>
  <si>
    <t>Prop Speed =</t>
  </si>
  <si>
    <t xml:space="preserve">CL MAX @ Stall Spd =  </t>
  </si>
  <si>
    <t xml:space="preserve">CL MAX @ Stall Spd = </t>
  </si>
  <si>
    <t>Clean =</t>
  </si>
  <si>
    <t xml:space="preserve">% MAC = </t>
  </si>
  <si>
    <t>Date Weighed:</t>
  </si>
  <si>
    <t>Nose cone tip</t>
  </si>
  <si>
    <t>(Static Run-up)</t>
  </si>
  <si>
    <t>Tail wheel</t>
  </si>
  <si>
    <t>Climb Power Available =</t>
  </si>
  <si>
    <t>HP</t>
  </si>
  <si>
    <t>Est'ed HP Req'd at spd =</t>
  </si>
  <si>
    <t>Ideal Cruise Prop Dia =</t>
  </si>
  <si>
    <t>Ideal Climb Prop Dia =</t>
  </si>
  <si>
    <t>Approx.Prop Thrust =</t>
  </si>
  <si>
    <t xml:space="preserve">  </t>
  </si>
  <si>
    <t>S/N: CH2 XXXX-XXXX</t>
  </si>
  <si>
    <t>Built by: James Doe</t>
  </si>
  <si>
    <t>John Doe</t>
  </si>
  <si>
    <t>Equipment added or removed after weighing plane:</t>
  </si>
  <si>
    <t>Lead weight at tail wheel</t>
  </si>
  <si>
    <t>GPH</t>
  </si>
  <si>
    <t>HRS.</t>
  </si>
  <si>
    <t>(Enter T.O. wt. From wt. &amp; bal. spreadsheet)</t>
  </si>
  <si>
    <t>Or any weight desired for analysis</t>
  </si>
  <si>
    <t xml:space="preserve">Note:  </t>
  </si>
  <si>
    <t>for a quick understanding of how things interrelate and affect performance.</t>
  </si>
  <si>
    <t xml:space="preserve">               with flaps</t>
  </si>
  <si>
    <t>No Flaps</t>
  </si>
  <si>
    <t>With Flaps</t>
  </si>
  <si>
    <t xml:space="preserve">  Flaps =</t>
  </si>
  <si>
    <t>Est'ed trip fuel burn-off rate</t>
  </si>
  <si>
    <t>-Extra Fuel Tank(#2 in rear seat)</t>
  </si>
  <si>
    <t>-Main Fuel Tank (#1)</t>
  </si>
  <si>
    <t>-Oil ~ onces req'd.</t>
  </si>
  <si>
    <r>
      <t>-</t>
    </r>
    <r>
      <rPr>
        <b/>
        <sz val="10"/>
        <rFont val="Arial"/>
        <family val="2"/>
      </rPr>
      <t>Pilot:</t>
    </r>
    <r>
      <rPr>
        <sz val="10"/>
        <rFont val="Arial"/>
        <family val="0"/>
      </rPr>
      <t xml:space="preserve"> (Front Seat Solo)</t>
    </r>
  </si>
  <si>
    <r>
      <t>-</t>
    </r>
    <r>
      <rPr>
        <b/>
        <sz val="10"/>
        <rFont val="Arial"/>
        <family val="2"/>
      </rPr>
      <t xml:space="preserve">CoPilot: </t>
    </r>
    <r>
      <rPr>
        <sz val="10"/>
        <rFont val="Arial"/>
        <family val="2"/>
      </rPr>
      <t>(Rear Seat)</t>
    </r>
  </si>
  <si>
    <t>-Other:</t>
  </si>
  <si>
    <t>Ideal MAC % =</t>
  </si>
  <si>
    <t xml:space="preserve">   </t>
  </si>
  <si>
    <t xml:space="preserve">formula or way to do it, please let me know! </t>
  </si>
  <si>
    <t>In any event you will have a better handle on how I worked the calculations &amp; thereby how accurate they might be.</t>
  </si>
  <si>
    <t xml:space="preserve">              Datum to wing leading edge =</t>
  </si>
  <si>
    <t xml:space="preserve">I have left the work sheets unprotected and with all formula and cells visable and changable, check them out and if you know of a better </t>
  </si>
  <si>
    <t>Payload for this flt. =</t>
  </si>
  <si>
    <t xml:space="preserve">Shortcut formula and simple rules of thumb have been used in this spreadsheet, After having said that, I have found the results useful  </t>
  </si>
  <si>
    <r>
      <t>M</t>
    </r>
    <r>
      <rPr>
        <b/>
        <sz val="10"/>
        <color indexed="8"/>
        <rFont val="Arial"/>
        <family val="2"/>
      </rPr>
      <t>ain</t>
    </r>
    <r>
      <rPr>
        <b/>
        <sz val="10"/>
        <color indexed="10"/>
        <rFont val="Arial"/>
        <family val="2"/>
      </rPr>
      <t xml:space="preserve"> A</t>
    </r>
    <r>
      <rPr>
        <b/>
        <sz val="10"/>
        <color indexed="8"/>
        <rFont val="Arial"/>
        <family val="2"/>
      </rPr>
      <t>erodynamic</t>
    </r>
    <r>
      <rPr>
        <b/>
        <sz val="10"/>
        <color indexed="10"/>
        <rFont val="Arial"/>
        <family val="2"/>
      </rPr>
      <t xml:space="preserve"> C</t>
    </r>
    <r>
      <rPr>
        <b/>
        <sz val="10"/>
        <color indexed="8"/>
        <rFont val="Arial"/>
        <family val="2"/>
      </rPr>
      <t xml:space="preserve">ord </t>
    </r>
    <r>
      <rPr>
        <b/>
        <sz val="10"/>
        <color indexed="10"/>
        <rFont val="Arial"/>
        <family val="2"/>
      </rPr>
      <t xml:space="preserve"> (MAC) =</t>
    </r>
  </si>
  <si>
    <t>MAC =</t>
  </si>
  <si>
    <t>Wing Data</t>
  </si>
  <si>
    <t>'@ flt spd</t>
  </si>
  <si>
    <t>DESIGN DATA ( INPUT ~ ENTERED DATA )</t>
  </si>
  <si>
    <r>
      <t>2 gals fuel</t>
    </r>
    <r>
      <rPr>
        <sz val="10"/>
        <rFont val="Arial"/>
        <family val="2"/>
      </rPr>
      <t xml:space="preserve"> remaining in tank (removed)</t>
    </r>
  </si>
  <si>
    <t>ELT Transmitter</t>
  </si>
  <si>
    <t xml:space="preserve">                  * Calc'ed using cl max</t>
  </si>
  <si>
    <t>C.G. must be between:</t>
  </si>
  <si>
    <t>inches:</t>
  </si>
  <si>
    <t xml:space="preserve"> Note: MAX ALLOWABLE GROSS WT. =</t>
  </si>
  <si>
    <t>Lbs. At</t>
  </si>
  <si>
    <t xml:space="preserve">       Reduction Ratio =</t>
  </si>
  <si>
    <t xml:space="preserve">    Design Cruise Spd. =</t>
  </si>
  <si>
    <t xml:space="preserve">       Maneuvering Spd =</t>
  </si>
  <si>
    <t xml:space="preserve"> GPS  ( portable at .8 lbs.)</t>
  </si>
  <si>
    <t xml:space="preserve"> Radio  ( portable at 1.4 lbs.)</t>
  </si>
  <si>
    <t>Est'd Range=</t>
  </si>
  <si>
    <r>
      <t>Use for information only and at your own risk</t>
    </r>
    <r>
      <rPr>
        <b/>
        <sz val="11"/>
        <rFont val="Arial"/>
        <family val="2"/>
      </rPr>
      <t>.</t>
    </r>
  </si>
  <si>
    <t>Strobe Electrical Box</t>
  </si>
  <si>
    <t>Planes Landing speed at this landing weight =</t>
  </si>
  <si>
    <t xml:space="preserve">      Pilots helmet      ( 2.5 lbs. )</t>
  </si>
  <si>
    <t xml:space="preserve">      CoPilots helmet  ( 2.5 lbs.)</t>
  </si>
  <si>
    <t>Weight under Engine</t>
  </si>
  <si>
    <t>Planes Take-off speed at this lift-off weight =</t>
  </si>
  <si>
    <t>CALCULATED OUTPUT DATA</t>
  </si>
  <si>
    <t xml:space="preserve">These spreadsheets have not been checked by any professional for "adequacy of or for purpose" of the data.   </t>
  </si>
  <si>
    <t>N#: XXX SR</t>
  </si>
  <si>
    <t>Ave. C-2 wt.~ 450</t>
  </si>
  <si>
    <t>G's Ultimate</t>
  </si>
  <si>
    <t>Maneuvering Speedat this lift-off weight =</t>
  </si>
  <si>
    <t>Est'ed ground speed for this trip</t>
  </si>
  <si>
    <t>Totals:  (Plane's Est'ed Fuel Burnt-off Landing weight)</t>
  </si>
  <si>
    <t>Some claim that the C.G. located at 87" works best for overall performance</t>
  </si>
  <si>
    <t>Trip est'ed fuel burn-off</t>
  </si>
  <si>
    <t>GAL'S</t>
  </si>
  <si>
    <t>MAX FLIGHT DURATION</t>
  </si>
  <si>
    <r>
      <t xml:space="preserve">        Planed flight time for this trip</t>
    </r>
    <r>
      <rPr>
        <b/>
        <sz val="11"/>
        <color indexed="10"/>
        <rFont val="Arial"/>
        <family val="2"/>
      </rPr>
      <t xml:space="preserve">        </t>
    </r>
    <r>
      <rPr>
        <b/>
        <sz val="11"/>
        <rFont val="Arial"/>
        <family val="2"/>
      </rPr>
      <t xml:space="preserve">  </t>
    </r>
  </si>
  <si>
    <t xml:space="preserve"> GAL'S OF FUEL REMAINING</t>
  </si>
  <si>
    <t>Check out landing speed equasion</t>
  </si>
  <si>
    <t xml:space="preserve">        80 &amp; 90 inches</t>
  </si>
  <si>
    <t>8/15/2002       A\C bought on: XXXXXXX</t>
  </si>
  <si>
    <t>Challeger II      A\C built in: XXXXXXX</t>
  </si>
  <si>
    <t>Oil / Fuel Mixture =</t>
  </si>
  <si>
    <t>Including Flaperon &amp; .3" sealed wing to aileron gap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</si>
</sst>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"/>
    <numFmt numFmtId="172" formatCode="0.00000000"/>
    <numFmt numFmtId="173" formatCode="00000"/>
    <numFmt numFmtId="174" formatCode="_(* #,##0.0_);_(* \(#,##0.0\);_(* &quot;-&quot;?_);_(@_)"/>
    <numFmt numFmtId="175" formatCode="0;[Red]0"/>
    <numFmt numFmtId="176" formatCode="0_);[Red]\(0\)"/>
    <numFmt numFmtId="177" formatCode="_(* #,##0.000_);_(* \(#,##0.000\);_(* &quot;-&quot;???_);_(@_)"/>
    <numFmt numFmtId="178" formatCode="_(* #,##0.000_);_(* \(#,##0.0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Arial"/>
      <family val="2"/>
    </font>
    <font>
      <b/>
      <u val="single"/>
      <sz val="10"/>
      <color indexed="14"/>
      <name val="Arial"/>
      <family val="2"/>
    </font>
    <font>
      <b/>
      <u val="single"/>
      <sz val="14"/>
      <color indexed="53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48"/>
      <name val="Arial"/>
      <family val="2"/>
    </font>
    <font>
      <b/>
      <u val="single"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u val="single"/>
      <sz val="10"/>
      <color indexed="1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4" xfId="0" applyFill="1" applyBorder="1" applyAlignment="1">
      <alignment/>
    </xf>
    <xf numFmtId="2" fontId="0" fillId="4" borderId="0" xfId="0" applyNumberFormat="1" applyFill="1" applyBorder="1" applyAlignment="1">
      <alignment/>
    </xf>
    <xf numFmtId="0" fontId="1" fillId="4" borderId="0" xfId="0" applyFon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165" fontId="0" fillId="4" borderId="0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0" fontId="2" fillId="4" borderId="0" xfId="0" applyFont="1" applyFill="1" applyBorder="1" applyAlignment="1">
      <alignment/>
    </xf>
    <xf numFmtId="0" fontId="1" fillId="4" borderId="5" xfId="0" applyFont="1" applyFill="1" applyBorder="1" applyAlignment="1">
      <alignment horizontal="right"/>
    </xf>
    <xf numFmtId="167" fontId="0" fillId="4" borderId="0" xfId="0" applyNumberFormat="1" applyFill="1" applyBorder="1" applyAlignment="1">
      <alignment horizontal="left"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0" fillId="2" borderId="4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4" borderId="6" xfId="0" applyFill="1" applyBorder="1" applyAlignment="1">
      <alignment/>
    </xf>
    <xf numFmtId="0" fontId="0" fillId="4" borderId="5" xfId="0" applyFill="1" applyBorder="1" applyAlignment="1">
      <alignment horizontal="right"/>
    </xf>
    <xf numFmtId="1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170" fontId="0" fillId="4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Continuous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5" borderId="4" xfId="0" applyFill="1" applyBorder="1" applyAlignment="1">
      <alignment/>
    </xf>
    <xf numFmtId="0" fontId="0" fillId="0" borderId="2" xfId="0" applyBorder="1" applyAlignment="1" quotePrefix="1">
      <alignment horizontal="center"/>
    </xf>
    <xf numFmtId="0" fontId="0" fillId="5" borderId="3" xfId="0" applyFill="1" applyBorder="1" applyAlignment="1">
      <alignment/>
    </xf>
    <xf numFmtId="0" fontId="1" fillId="2" borderId="8" xfId="0" applyFont="1" applyFill="1" applyBorder="1" applyAlignment="1">
      <alignment horizontal="left"/>
    </xf>
    <xf numFmtId="16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0" fontId="0" fillId="0" borderId="5" xfId="0" applyBorder="1" applyAlignment="1">
      <alignment horizontal="right"/>
    </xf>
    <xf numFmtId="0" fontId="0" fillId="0" borderId="0" xfId="0" applyBorder="1" applyAlignment="1" quotePrefix="1">
      <alignment/>
    </xf>
    <xf numFmtId="167" fontId="0" fillId="0" borderId="0" xfId="0" applyNumberFormat="1" applyBorder="1" applyAlignment="1">
      <alignment/>
    </xf>
    <xf numFmtId="170" fontId="0" fillId="0" borderId="0" xfId="15" applyNumberForma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0" fillId="5" borderId="0" xfId="0" applyFill="1" applyBorder="1" applyAlignment="1" quotePrefix="1">
      <alignment/>
    </xf>
    <xf numFmtId="0" fontId="0" fillId="6" borderId="5" xfId="0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 quotePrefix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right"/>
    </xf>
    <xf numFmtId="170" fontId="0" fillId="0" borderId="0" xfId="0" applyNumberFormat="1" applyBorder="1" applyAlignment="1">
      <alignment/>
    </xf>
    <xf numFmtId="16" fontId="0" fillId="0" borderId="0" xfId="0" applyNumberFormat="1" applyBorder="1" applyAlignment="1" quotePrefix="1">
      <alignment horizontal="center"/>
    </xf>
    <xf numFmtId="0" fontId="0" fillId="0" borderId="0" xfId="0" applyAlignment="1" quotePrefix="1">
      <alignment/>
    </xf>
    <xf numFmtId="170" fontId="0" fillId="0" borderId="0" xfId="0" applyNumberFormat="1" applyAlignment="1">
      <alignment/>
    </xf>
    <xf numFmtId="16" fontId="0" fillId="0" borderId="0" xfId="0" applyNumberFormat="1" applyAlignment="1" quotePrefix="1">
      <alignment horizontal="center"/>
    </xf>
    <xf numFmtId="170" fontId="0" fillId="0" borderId="0" xfId="15" applyNumberFormat="1" applyAlignment="1">
      <alignment/>
    </xf>
    <xf numFmtId="1" fontId="0" fillId="2" borderId="4" xfId="0" applyNumberFormat="1" applyFill="1" applyBorder="1" applyAlignment="1">
      <alignment horizontal="left"/>
    </xf>
    <xf numFmtId="0" fontId="0" fillId="4" borderId="5" xfId="0" applyFill="1" applyBorder="1" applyAlignment="1">
      <alignment/>
    </xf>
    <xf numFmtId="0" fontId="0" fillId="2" borderId="0" xfId="0" applyFill="1" applyBorder="1" applyAlignment="1">
      <alignment/>
    </xf>
    <xf numFmtId="0" fontId="5" fillId="4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0" fillId="2" borderId="10" xfId="0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4" borderId="0" xfId="0" applyFont="1" applyFill="1" applyBorder="1" applyAlignment="1">
      <alignment horizontal="left"/>
    </xf>
    <xf numFmtId="1" fontId="1" fillId="4" borderId="0" xfId="0" applyNumberFormat="1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/>
    </xf>
    <xf numFmtId="2" fontId="1" fillId="4" borderId="11" xfId="0" applyNumberFormat="1" applyFont="1" applyFill="1" applyBorder="1" applyAlignment="1">
      <alignment/>
    </xf>
    <xf numFmtId="0" fontId="1" fillId="4" borderId="9" xfId="0" applyFont="1" applyFill="1" applyBorder="1" applyAlignment="1">
      <alignment/>
    </xf>
    <xf numFmtId="2" fontId="1" fillId="4" borderId="12" xfId="0" applyNumberFormat="1" applyFont="1" applyFill="1" applyBorder="1" applyAlignment="1">
      <alignment horizontal="left"/>
    </xf>
    <xf numFmtId="0" fontId="1" fillId="4" borderId="0" xfId="0" applyFont="1" applyFill="1" applyBorder="1" applyAlignment="1">
      <alignment/>
    </xf>
    <xf numFmtId="165" fontId="1" fillId="4" borderId="0" xfId="0" applyNumberFormat="1" applyFont="1" applyFill="1" applyBorder="1" applyAlignment="1">
      <alignment horizontal="left"/>
    </xf>
    <xf numFmtId="2" fontId="1" fillId="4" borderId="0" xfId="0" applyNumberFormat="1" applyFont="1" applyFill="1" applyBorder="1" applyAlignment="1">
      <alignment horizontal="left"/>
    </xf>
    <xf numFmtId="167" fontId="1" fillId="4" borderId="0" xfId="0" applyNumberFormat="1" applyFont="1" applyFill="1" applyBorder="1" applyAlignment="1">
      <alignment horizontal="right"/>
    </xf>
    <xf numFmtId="2" fontId="1" fillId="4" borderId="0" xfId="0" applyNumberFormat="1" applyFont="1" applyFill="1" applyBorder="1" applyAlignment="1">
      <alignment horizontal="right"/>
    </xf>
    <xf numFmtId="1" fontId="1" fillId="4" borderId="0" xfId="0" applyNumberFormat="1" applyFont="1" applyFill="1" applyBorder="1" applyAlignment="1">
      <alignment horizontal="center"/>
    </xf>
    <xf numFmtId="43" fontId="1" fillId="4" borderId="0" xfId="15" applyFont="1" applyFill="1" applyBorder="1" applyAlignment="1">
      <alignment horizontal="left"/>
    </xf>
    <xf numFmtId="2" fontId="1" fillId="4" borderId="0" xfId="0" applyNumberFormat="1" applyFont="1" applyFill="1" applyBorder="1" applyAlignment="1">
      <alignment/>
    </xf>
    <xf numFmtId="0" fontId="1" fillId="4" borderId="4" xfId="0" applyFont="1" applyFill="1" applyBorder="1" applyAlignment="1">
      <alignment/>
    </xf>
    <xf numFmtId="1" fontId="1" fillId="4" borderId="0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left"/>
    </xf>
    <xf numFmtId="167" fontId="1" fillId="4" borderId="0" xfId="0" applyNumberFormat="1" applyFont="1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2" fontId="0" fillId="4" borderId="1" xfId="0" applyNumberFormat="1" applyFill="1" applyBorder="1" applyAlignment="1">
      <alignment/>
    </xf>
    <xf numFmtId="2" fontId="1" fillId="4" borderId="4" xfId="0" applyNumberFormat="1" applyFont="1" applyFill="1" applyBorder="1" applyAlignment="1">
      <alignment horizontal="left"/>
    </xf>
    <xf numFmtId="167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/>
    </xf>
    <xf numFmtId="165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170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right"/>
    </xf>
    <xf numFmtId="1" fontId="1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right"/>
    </xf>
    <xf numFmtId="1" fontId="1" fillId="4" borderId="1" xfId="0" applyNumberFormat="1" applyFont="1" applyFill="1" applyBorder="1" applyAlignment="1">
      <alignment horizontal="left"/>
    </xf>
    <xf numFmtId="0" fontId="0" fillId="4" borderId="2" xfId="0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167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 quotePrefix="1">
      <alignment/>
    </xf>
    <xf numFmtId="165" fontId="0" fillId="4" borderId="1" xfId="0" applyNumberForma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1" fillId="0" borderId="0" xfId="0" applyFont="1" applyAlignment="1">
      <alignment horizontal="center"/>
    </xf>
    <xf numFmtId="167" fontId="5" fillId="4" borderId="3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1" fillId="0" borderId="12" xfId="0" applyFont="1" applyBorder="1" applyAlignment="1">
      <alignment/>
    </xf>
    <xf numFmtId="0" fontId="1" fillId="4" borderId="0" xfId="0" applyFont="1" applyFill="1" applyBorder="1" applyAlignment="1">
      <alignment horizontal="center"/>
    </xf>
    <xf numFmtId="0" fontId="0" fillId="5" borderId="7" xfId="0" applyFill="1" applyBorder="1" applyAlignment="1">
      <alignment/>
    </xf>
    <xf numFmtId="164" fontId="5" fillId="0" borderId="0" xfId="0" applyNumberFormat="1" applyFont="1" applyAlignment="1">
      <alignment horizontal="center"/>
    </xf>
    <xf numFmtId="0" fontId="0" fillId="2" borderId="11" xfId="0" applyFill="1" applyBorder="1" applyAlignment="1">
      <alignment/>
    </xf>
    <xf numFmtId="167" fontId="1" fillId="0" borderId="13" xfId="0" applyNumberFormat="1" applyFont="1" applyBorder="1" applyAlignment="1">
      <alignment horizontal="center"/>
    </xf>
    <xf numFmtId="170" fontId="1" fillId="0" borderId="9" xfId="0" applyNumberFormat="1" applyFont="1" applyBorder="1" applyAlignment="1">
      <alignment/>
    </xf>
    <xf numFmtId="167" fontId="5" fillId="0" borderId="4" xfId="0" applyNumberFormat="1" applyFont="1" applyBorder="1" applyAlignment="1">
      <alignment horizontal="center"/>
    </xf>
    <xf numFmtId="167" fontId="5" fillId="0" borderId="3" xfId="0" applyNumberFormat="1" applyFont="1" applyBorder="1" applyAlignment="1">
      <alignment horizontal="center"/>
    </xf>
    <xf numFmtId="0" fontId="14" fillId="2" borderId="0" xfId="0" applyFont="1" applyFill="1" applyBorder="1" applyAlignment="1">
      <alignment/>
    </xf>
    <xf numFmtId="2" fontId="0" fillId="2" borderId="0" xfId="0" applyNumberFormat="1" applyFill="1" applyBorder="1" applyAlignment="1">
      <alignment horizontal="left"/>
    </xf>
    <xf numFmtId="0" fontId="0" fillId="0" borderId="0" xfId="0" applyFont="1" applyAlignment="1">
      <alignment/>
    </xf>
    <xf numFmtId="0" fontId="1" fillId="4" borderId="2" xfId="0" applyFont="1" applyFill="1" applyBorder="1" applyAlignment="1">
      <alignment/>
    </xf>
    <xf numFmtId="0" fontId="1" fillId="4" borderId="10" xfId="0" applyFont="1" applyFill="1" applyBorder="1" applyAlignment="1">
      <alignment horizontal="right"/>
    </xf>
    <xf numFmtId="2" fontId="1" fillId="4" borderId="6" xfId="0" applyNumberFormat="1" applyFont="1" applyFill="1" applyBorder="1" applyAlignment="1">
      <alignment horizontal="right"/>
    </xf>
    <xf numFmtId="0" fontId="1" fillId="4" borderId="6" xfId="0" applyFont="1" applyFill="1" applyBorder="1" applyAlignment="1">
      <alignment/>
    </xf>
    <xf numFmtId="1" fontId="1" fillId="4" borderId="6" xfId="0" applyNumberFormat="1" applyFont="1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167" fontId="1" fillId="4" borderId="6" xfId="0" applyNumberFormat="1" applyFont="1" applyFill="1" applyBorder="1" applyAlignment="1">
      <alignment horizontal="left"/>
    </xf>
    <xf numFmtId="2" fontId="1" fillId="4" borderId="6" xfId="0" applyNumberFormat="1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12" fillId="4" borderId="2" xfId="0" applyFont="1" applyFill="1" applyBorder="1" applyAlignment="1">
      <alignment/>
    </xf>
    <xf numFmtId="167" fontId="5" fillId="0" borderId="1" xfId="0" applyNumberFormat="1" applyFont="1" applyBorder="1" applyAlignment="1">
      <alignment horizontal="right"/>
    </xf>
    <xf numFmtId="0" fontId="0" fillId="5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170" fontId="0" fillId="0" borderId="0" xfId="15" applyNumberFormat="1" applyFill="1" applyBorder="1" applyAlignment="1">
      <alignment/>
    </xf>
    <xf numFmtId="16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10" xfId="0" applyFill="1" applyBorder="1" applyAlignment="1" quotePrefix="1">
      <alignment horizontal="right"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5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16" fillId="2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1" fillId="0" borderId="2" xfId="0" applyFont="1" applyBorder="1" applyAlignment="1">
      <alignment horizontal="right"/>
    </xf>
    <xf numFmtId="0" fontId="0" fillId="7" borderId="5" xfId="0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" fillId="2" borderId="8" xfId="0" applyFont="1" applyFill="1" applyBorder="1" applyAlignment="1">
      <alignment/>
    </xf>
    <xf numFmtId="169" fontId="1" fillId="0" borderId="8" xfId="15" applyNumberFormat="1" applyFont="1" applyBorder="1" applyAlignment="1">
      <alignment/>
    </xf>
    <xf numFmtId="0" fontId="0" fillId="8" borderId="12" xfId="0" applyFill="1" applyBorder="1" applyAlignment="1">
      <alignment/>
    </xf>
    <xf numFmtId="167" fontId="1" fillId="0" borderId="8" xfId="0" applyNumberFormat="1" applyFont="1" applyBorder="1" applyAlignment="1">
      <alignment horizontal="center"/>
    </xf>
    <xf numFmtId="169" fontId="1" fillId="0" borderId="8" xfId="15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0" fillId="2" borderId="6" xfId="0" applyNumberForma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0" fillId="2" borderId="14" xfId="0" applyFill="1" applyBorder="1" applyAlignment="1">
      <alignment/>
    </xf>
    <xf numFmtId="0" fontId="0" fillId="2" borderId="16" xfId="0" applyFill="1" applyBorder="1" applyAlignment="1">
      <alignment/>
    </xf>
    <xf numFmtId="0" fontId="5" fillId="2" borderId="15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 quotePrefix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 quotePrefix="1">
      <alignment horizontal="center"/>
    </xf>
    <xf numFmtId="0" fontId="0" fillId="0" borderId="1" xfId="0" applyBorder="1" applyAlignment="1" quotePrefix="1">
      <alignment/>
    </xf>
    <xf numFmtId="167" fontId="0" fillId="0" borderId="17" xfId="0" applyNumberFormat="1" applyBorder="1" applyAlignment="1">
      <alignment horizontal="center"/>
    </xf>
    <xf numFmtId="167" fontId="5" fillId="0" borderId="17" xfId="0" applyNumberFormat="1" applyFont="1" applyBorder="1" applyAlignment="1">
      <alignment horizontal="right"/>
    </xf>
    <xf numFmtId="43" fontId="5" fillId="0" borderId="17" xfId="15" applyNumberFormat="1" applyFont="1" applyBorder="1" applyAlignment="1">
      <alignment horizontal="right"/>
    </xf>
    <xf numFmtId="4" fontId="0" fillId="0" borderId="17" xfId="15" applyNumberFormat="1" applyBorder="1" applyAlignment="1">
      <alignment horizontal="right"/>
    </xf>
    <xf numFmtId="43" fontId="5" fillId="0" borderId="17" xfId="15" applyNumberFormat="1" applyFont="1" applyFill="1" applyBorder="1" applyAlignment="1">
      <alignment horizontal="right"/>
    </xf>
    <xf numFmtId="4" fontId="0" fillId="0" borderId="17" xfId="15" applyNumberFormat="1" applyFill="1" applyBorder="1" applyAlignment="1">
      <alignment horizontal="right"/>
    </xf>
    <xf numFmtId="0" fontId="0" fillId="7" borderId="10" xfId="0" applyFill="1" applyBorder="1" applyAlignment="1">
      <alignment horizontal="center"/>
    </xf>
    <xf numFmtId="167" fontId="5" fillId="0" borderId="17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43" fontId="0" fillId="0" borderId="17" xfId="15" applyNumberFormat="1" applyBorder="1" applyAlignment="1">
      <alignment/>
    </xf>
    <xf numFmtId="167" fontId="5" fillId="7" borderId="17" xfId="0" applyNumberFormat="1" applyFont="1" applyFill="1" applyBorder="1" applyAlignment="1">
      <alignment/>
    </xf>
    <xf numFmtId="167" fontId="5" fillId="6" borderId="17" xfId="0" applyNumberFormat="1" applyFont="1" applyFill="1" applyBorder="1" applyAlignment="1">
      <alignment/>
    </xf>
    <xf numFmtId="167" fontId="5" fillId="0" borderId="17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0" fontId="1" fillId="2" borderId="15" xfId="0" applyFont="1" applyFill="1" applyBorder="1" applyAlignment="1">
      <alignment/>
    </xf>
    <xf numFmtId="167" fontId="5" fillId="0" borderId="18" xfId="0" applyNumberFormat="1" applyFont="1" applyBorder="1" applyAlignment="1">
      <alignment horizontal="right"/>
    </xf>
    <xf numFmtId="167" fontId="5" fillId="0" borderId="18" xfId="0" applyNumberFormat="1" applyFont="1" applyFill="1" applyBorder="1" applyAlignment="1">
      <alignment horizontal="right"/>
    </xf>
    <xf numFmtId="0" fontId="5" fillId="0" borderId="18" xfId="0" applyFont="1" applyBorder="1" applyAlignment="1">
      <alignment horizontal="right"/>
    </xf>
    <xf numFmtId="167" fontId="0" fillId="0" borderId="19" xfId="0" applyNumberFormat="1" applyBorder="1" applyAlignment="1">
      <alignment horizontal="center"/>
    </xf>
    <xf numFmtId="167" fontId="0" fillId="5" borderId="0" xfId="0" applyNumberFormat="1" applyFill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67" fontId="5" fillId="0" borderId="20" xfId="0" applyNumberFormat="1" applyFont="1" applyBorder="1" applyAlignment="1">
      <alignment horizontal="right"/>
    </xf>
    <xf numFmtId="43" fontId="5" fillId="0" borderId="20" xfId="15" applyNumberFormat="1" applyFont="1" applyBorder="1" applyAlignment="1">
      <alignment horizontal="right"/>
    </xf>
    <xf numFmtId="4" fontId="0" fillId="0" borderId="20" xfId="15" applyNumberForma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2" borderId="8" xfId="0" applyFont="1" applyFill="1" applyBorder="1" applyAlignment="1">
      <alignment/>
    </xf>
    <xf numFmtId="167" fontId="0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1" xfId="0" applyFont="1" applyBorder="1" applyAlignment="1" quotePrefix="1">
      <alignment/>
    </xf>
    <xf numFmtId="0" fontId="1" fillId="7" borderId="22" xfId="0" applyFont="1" applyFill="1" applyBorder="1" applyAlignment="1" quotePrefix="1">
      <alignment/>
    </xf>
    <xf numFmtId="0" fontId="1" fillId="6" borderId="22" xfId="0" applyFont="1" applyFill="1" applyBorder="1" applyAlignment="1" quotePrefix="1">
      <alignment/>
    </xf>
    <xf numFmtId="0" fontId="1" fillId="0" borderId="22" xfId="0" applyFont="1" applyFill="1" applyBorder="1" applyAlignment="1" quotePrefix="1">
      <alignment/>
    </xf>
    <xf numFmtId="0" fontId="0" fillId="0" borderId="22" xfId="0" applyBorder="1" applyAlignment="1" quotePrefix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 quotePrefix="1">
      <alignment/>
    </xf>
    <xf numFmtId="0" fontId="4" fillId="0" borderId="22" xfId="0" applyFont="1" applyBorder="1" applyAlignment="1" quotePrefix="1">
      <alignment horizontal="right"/>
    </xf>
    <xf numFmtId="0" fontId="4" fillId="0" borderId="23" xfId="0" applyFont="1" applyBorder="1" applyAlignment="1">
      <alignment horizontal="right"/>
    </xf>
    <xf numFmtId="167" fontId="1" fillId="0" borderId="12" xfId="0" applyNumberFormat="1" applyFont="1" applyBorder="1" applyAlignment="1">
      <alignment horizontal="center"/>
    </xf>
    <xf numFmtId="43" fontId="0" fillId="0" borderId="19" xfId="15" applyNumberFormat="1" applyBorder="1" applyAlignment="1">
      <alignment/>
    </xf>
    <xf numFmtId="170" fontId="1" fillId="0" borderId="8" xfId="15" applyNumberFormat="1" applyFont="1" applyBorder="1" applyAlignment="1">
      <alignment/>
    </xf>
    <xf numFmtId="167" fontId="5" fillId="0" borderId="19" xfId="0" applyNumberFormat="1" applyFont="1" applyBorder="1" applyAlignment="1">
      <alignment/>
    </xf>
    <xf numFmtId="167" fontId="5" fillId="0" borderId="24" xfId="0" applyNumberFormat="1" applyFont="1" applyBorder="1" applyAlignment="1">
      <alignment horizontal="right"/>
    </xf>
    <xf numFmtId="4" fontId="0" fillId="0" borderId="19" xfId="15" applyNumberFormat="1" applyFill="1" applyBorder="1" applyAlignment="1">
      <alignment horizontal="right"/>
    </xf>
    <xf numFmtId="170" fontId="5" fillId="0" borderId="19" xfId="15" applyNumberFormat="1" applyFont="1" applyBorder="1" applyAlignment="1">
      <alignment horizontal="right"/>
    </xf>
    <xf numFmtId="167" fontId="0" fillId="5" borderId="8" xfId="0" applyNumberFormat="1" applyFill="1" applyBorder="1" applyAlignment="1">
      <alignment/>
    </xf>
    <xf numFmtId="0" fontId="5" fillId="0" borderId="19" xfId="0" applyFont="1" applyBorder="1" applyAlignment="1">
      <alignment horizontal="center"/>
    </xf>
    <xf numFmtId="170" fontId="0" fillId="5" borderId="8" xfId="15" applyNumberFormat="1" applyFill="1" applyBorder="1" applyAlignment="1">
      <alignment/>
    </xf>
    <xf numFmtId="0" fontId="0" fillId="5" borderId="25" xfId="0" applyNumberFormat="1" applyFill="1" applyBorder="1" applyAlignment="1">
      <alignment horizontal="center"/>
    </xf>
    <xf numFmtId="167" fontId="5" fillId="0" borderId="20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43" fontId="0" fillId="0" borderId="20" xfId="15" applyNumberFormat="1" applyBorder="1" applyAlignment="1">
      <alignment/>
    </xf>
    <xf numFmtId="170" fontId="1" fillId="0" borderId="8" xfId="15" applyNumberFormat="1" applyFont="1" applyBorder="1" applyAlignment="1">
      <alignment horizontal="right"/>
    </xf>
    <xf numFmtId="167" fontId="5" fillId="0" borderId="8" xfId="0" applyNumberFormat="1" applyFont="1" applyBorder="1" applyAlignment="1">
      <alignment horizontal="center"/>
    </xf>
    <xf numFmtId="0" fontId="1" fillId="0" borderId="26" xfId="0" applyFont="1" applyBorder="1" applyAlignment="1" quotePrefix="1">
      <alignment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2" xfId="0" applyFont="1" applyBorder="1" applyAlignment="1">
      <alignment horizontal="left"/>
    </xf>
    <xf numFmtId="0" fontId="18" fillId="4" borderId="2" xfId="0" applyFont="1" applyFill="1" applyBorder="1" applyAlignment="1">
      <alignment horizontal="right"/>
    </xf>
    <xf numFmtId="170" fontId="18" fillId="4" borderId="1" xfId="15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2" fontId="1" fillId="4" borderId="11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/>
    </xf>
    <xf numFmtId="2" fontId="1" fillId="4" borderId="1" xfId="0" applyNumberFormat="1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/>
    </xf>
    <xf numFmtId="0" fontId="19" fillId="0" borderId="32" xfId="0" applyFont="1" applyBorder="1" applyAlignment="1" quotePrefix="1">
      <alignment horizontal="left"/>
    </xf>
    <xf numFmtId="170" fontId="1" fillId="0" borderId="0" xfId="15" applyNumberFormat="1" applyFont="1" applyBorder="1" applyAlignment="1">
      <alignment horizontal="right"/>
    </xf>
    <xf numFmtId="170" fontId="16" fillId="0" borderId="0" xfId="15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1" fillId="0" borderId="6" xfId="0" applyFont="1" applyFill="1" applyBorder="1" applyAlignment="1">
      <alignment horizontal="right"/>
    </xf>
    <xf numFmtId="169" fontId="1" fillId="0" borderId="6" xfId="15" applyNumberFormat="1" applyFont="1" applyBorder="1" applyAlignment="1">
      <alignment horizontal="center"/>
    </xf>
    <xf numFmtId="170" fontId="0" fillId="0" borderId="6" xfId="15" applyNumberFormat="1" applyFill="1" applyBorder="1" applyAlignment="1">
      <alignment/>
    </xf>
    <xf numFmtId="0" fontId="0" fillId="0" borderId="5" xfId="0" applyFill="1" applyBorder="1" applyAlignment="1" quotePrefix="1">
      <alignment horizontal="right"/>
    </xf>
    <xf numFmtId="165" fontId="20" fillId="0" borderId="0" xfId="0" applyNumberFormat="1" applyFont="1" applyAlignment="1">
      <alignment horizontal="center"/>
    </xf>
    <xf numFmtId="167" fontId="1" fillId="4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170" fontId="16" fillId="0" borderId="0" xfId="15" applyNumberFormat="1" applyFont="1" applyFill="1" applyBorder="1" applyAlignment="1">
      <alignment horizontal="left"/>
    </xf>
    <xf numFmtId="2" fontId="16" fillId="0" borderId="0" xfId="0" applyNumberFormat="1" applyFont="1" applyAlignment="1">
      <alignment horizontal="center"/>
    </xf>
    <xf numFmtId="169" fontId="16" fillId="0" borderId="0" xfId="0" applyNumberFormat="1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7" xfId="0" applyFill="1" applyBorder="1" applyAlignment="1">
      <alignment/>
    </xf>
    <xf numFmtId="2" fontId="0" fillId="4" borderId="5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12" fillId="4" borderId="5" xfId="0" applyFont="1" applyFill="1" applyBorder="1" applyAlignment="1">
      <alignment/>
    </xf>
    <xf numFmtId="176" fontId="1" fillId="4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/>
    </xf>
    <xf numFmtId="167" fontId="5" fillId="4" borderId="4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/>
    </xf>
    <xf numFmtId="0" fontId="1" fillId="2" borderId="9" xfId="0" applyFont="1" applyFill="1" applyBorder="1" applyAlignment="1" quotePrefix="1">
      <alignment horizontal="center"/>
    </xf>
    <xf numFmtId="0" fontId="1" fillId="2" borderId="8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70" fontId="1" fillId="0" borderId="8" xfId="15" applyNumberFormat="1" applyFont="1" applyBorder="1" applyAlignment="1">
      <alignment horizontal="left"/>
    </xf>
    <xf numFmtId="0" fontId="16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170" fontId="1" fillId="5" borderId="1" xfId="15" applyNumberFormat="1" applyFont="1" applyFill="1" applyBorder="1" applyAlignment="1">
      <alignment horizontal="left"/>
    </xf>
    <xf numFmtId="167" fontId="5" fillId="5" borderId="3" xfId="0" applyNumberFormat="1" applyFont="1" applyFill="1" applyBorder="1" applyAlignment="1">
      <alignment horizontal="center"/>
    </xf>
    <xf numFmtId="167" fontId="21" fillId="0" borderId="0" xfId="0" applyNumberFormat="1" applyFont="1" applyAlignment="1">
      <alignment horizontal="center"/>
    </xf>
    <xf numFmtId="170" fontId="22" fillId="0" borderId="0" xfId="15" applyNumberFormat="1" applyFont="1" applyFill="1" applyBorder="1" applyAlignment="1">
      <alignment horizontal="left"/>
    </xf>
    <xf numFmtId="167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67" fontId="23" fillId="0" borderId="0" xfId="0" applyNumberFormat="1" applyFont="1" applyAlignment="1">
      <alignment horizontal="center"/>
    </xf>
    <xf numFmtId="0" fontId="23" fillId="0" borderId="0" xfId="0" applyFont="1" applyFill="1" applyBorder="1" applyAlignment="1">
      <alignment horizontal="right"/>
    </xf>
    <xf numFmtId="170" fontId="23" fillId="0" borderId="0" xfId="15" applyNumberFormat="1" applyFont="1" applyFill="1" applyBorder="1" applyAlignment="1">
      <alignment horizontal="left"/>
    </xf>
    <xf numFmtId="167" fontId="1" fillId="0" borderId="0" xfId="0" applyNumberFormat="1" applyFont="1" applyAlignment="1">
      <alignment/>
    </xf>
    <xf numFmtId="170" fontId="16" fillId="0" borderId="10" xfId="15" applyNumberFormat="1" applyFont="1" applyBorder="1" applyAlignment="1">
      <alignment horizontal="left"/>
    </xf>
    <xf numFmtId="167" fontId="5" fillId="0" borderId="7" xfId="0" applyNumberFormat="1" applyFont="1" applyBorder="1" applyAlignment="1">
      <alignment horizontal="center"/>
    </xf>
    <xf numFmtId="170" fontId="16" fillId="0" borderId="2" xfId="15" applyNumberFormat="1" applyFont="1" applyBorder="1" applyAlignment="1">
      <alignment horizontal="left"/>
    </xf>
    <xf numFmtId="2" fontId="1" fillId="5" borderId="8" xfId="0" applyNumberFormat="1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4" fillId="0" borderId="8" xfId="0" applyFont="1" applyBorder="1" applyAlignment="1">
      <alignment/>
    </xf>
    <xf numFmtId="0" fontId="24" fillId="0" borderId="1" xfId="0" applyFont="1" applyFill="1" applyBorder="1" applyAlignment="1">
      <alignment horizontal="right"/>
    </xf>
    <xf numFmtId="2" fontId="22" fillId="0" borderId="8" xfId="0" applyNumberFormat="1" applyFont="1" applyBorder="1" applyAlignment="1">
      <alignment horizontal="center"/>
    </xf>
    <xf numFmtId="0" fontId="22" fillId="0" borderId="8" xfId="0" applyFont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2" fillId="0" borderId="6" xfId="0" applyFont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169" fontId="1" fillId="0" borderId="9" xfId="15" applyNumberFormat="1" applyFont="1" applyBorder="1" applyAlignment="1">
      <alignment horizontal="center"/>
    </xf>
    <xf numFmtId="169" fontId="1" fillId="0" borderId="12" xfId="15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2"/>
  <sheetViews>
    <sheetView zoomScale="61" zoomScaleNormal="61" workbookViewId="0" topLeftCell="B14">
      <selection activeCell="N39" sqref="N39"/>
    </sheetView>
  </sheetViews>
  <sheetFormatPr defaultColWidth="9.140625" defaultRowHeight="12.75"/>
  <cols>
    <col min="1" max="1" width="2.00390625" style="0" customWidth="1"/>
    <col min="2" max="2" width="27.7109375" style="0" customWidth="1"/>
    <col min="3" max="3" width="11.7109375" style="0" customWidth="1"/>
    <col min="4" max="4" width="10.28125" style="0" customWidth="1"/>
    <col min="5" max="5" width="6.57421875" style="0" customWidth="1"/>
    <col min="6" max="6" width="22.140625" style="0" customWidth="1"/>
    <col min="7" max="7" width="11.8515625" style="0" customWidth="1"/>
    <col min="8" max="8" width="8.28125" style="0" customWidth="1"/>
    <col min="9" max="9" width="4.7109375" style="0" customWidth="1"/>
    <col min="10" max="10" width="14.7109375" style="0" customWidth="1"/>
    <col min="11" max="11" width="10.8515625" style="0" customWidth="1"/>
    <col min="12" max="12" width="9.7109375" style="0" customWidth="1"/>
    <col min="13" max="13" width="18.140625" style="0" customWidth="1"/>
    <col min="14" max="14" width="8.57421875" style="0" customWidth="1"/>
    <col min="15" max="15" width="10.57421875" style="0" customWidth="1"/>
  </cols>
  <sheetData>
    <row r="1" ht="13.5" thickBot="1"/>
    <row r="2" spans="2:15" ht="21" thickBot="1">
      <c r="B2" s="332" t="s">
        <v>123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4"/>
    </row>
    <row r="3" spans="2:15" ht="7.5" customHeight="1" thickBot="1">
      <c r="B3" s="7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2:15" ht="13.5" thickBot="1">
      <c r="B4" s="73" t="s">
        <v>47</v>
      </c>
      <c r="C4" s="296">
        <v>1050</v>
      </c>
      <c r="D4" s="294" t="s">
        <v>1</v>
      </c>
      <c r="E4" s="2"/>
      <c r="F4" s="19" t="s">
        <v>8</v>
      </c>
      <c r="G4" s="297">
        <v>60</v>
      </c>
      <c r="H4" s="295" t="s">
        <v>11</v>
      </c>
      <c r="I4" s="2"/>
      <c r="J4" s="19" t="s">
        <v>6</v>
      </c>
      <c r="K4" s="296">
        <v>28.4</v>
      </c>
      <c r="L4" s="295" t="s">
        <v>7</v>
      </c>
      <c r="M4" s="2"/>
      <c r="N4" s="19" t="s">
        <v>74</v>
      </c>
      <c r="O4" s="296">
        <v>1.627</v>
      </c>
    </row>
    <row r="5" spans="2:15" ht="15.75" thickBot="1">
      <c r="B5" s="73"/>
      <c r="C5" s="162" t="s">
        <v>96</v>
      </c>
      <c r="D5" s="71"/>
      <c r="E5" s="2"/>
      <c r="F5" s="19"/>
      <c r="G5" s="137"/>
      <c r="H5" s="2"/>
      <c r="I5" s="2"/>
      <c r="J5" s="19"/>
      <c r="K5" s="21"/>
      <c r="L5" s="2"/>
      <c r="M5" s="2"/>
      <c r="N5" s="19"/>
      <c r="O5" s="23"/>
    </row>
    <row r="6" spans="2:15" ht="15.75" thickBot="1">
      <c r="B6" s="18"/>
      <c r="C6" s="162" t="s">
        <v>97</v>
      </c>
      <c r="D6" s="2"/>
      <c r="E6" s="2"/>
      <c r="F6" s="19" t="s">
        <v>70</v>
      </c>
      <c r="G6" s="296">
        <v>7.5</v>
      </c>
      <c r="H6" s="295" t="s">
        <v>11</v>
      </c>
      <c r="I6" s="2"/>
      <c r="J6" s="19" t="s">
        <v>71</v>
      </c>
      <c r="K6" s="296">
        <v>17</v>
      </c>
      <c r="L6" s="295" t="s">
        <v>7</v>
      </c>
      <c r="M6" s="2"/>
      <c r="N6" s="19" t="s">
        <v>75</v>
      </c>
      <c r="O6" s="296">
        <v>2.06</v>
      </c>
    </row>
    <row r="7" spans="2:15" ht="15.75" thickBot="1">
      <c r="B7" s="18"/>
      <c r="C7" s="2"/>
      <c r="D7" s="2"/>
      <c r="E7" s="2"/>
      <c r="F7" s="19"/>
      <c r="G7" s="292"/>
      <c r="H7" s="2"/>
      <c r="I7" s="2"/>
      <c r="J7" s="19"/>
      <c r="K7" s="292"/>
      <c r="L7" s="2"/>
      <c r="M7" s="136" t="s">
        <v>100</v>
      </c>
      <c r="N7" s="2"/>
      <c r="O7" s="23"/>
    </row>
    <row r="8" spans="2:15" ht="15.75" customHeight="1" thickBot="1">
      <c r="B8" s="73" t="s">
        <v>59</v>
      </c>
      <c r="C8" s="296">
        <v>80.4</v>
      </c>
      <c r="D8" s="295" t="s">
        <v>0</v>
      </c>
      <c r="E8" s="2"/>
      <c r="F8" s="19" t="s">
        <v>2</v>
      </c>
      <c r="G8" s="296">
        <v>0.82</v>
      </c>
      <c r="H8" s="2"/>
      <c r="I8" s="2"/>
      <c r="J8" s="19" t="s">
        <v>3</v>
      </c>
      <c r="K8" s="296">
        <v>0.95</v>
      </c>
      <c r="L8" s="21"/>
      <c r="M8" s="24" t="s">
        <v>131</v>
      </c>
      <c r="N8" s="2"/>
      <c r="O8" s="296">
        <v>2.2829</v>
      </c>
    </row>
    <row r="9" spans="2:15" ht="13.5" thickBot="1">
      <c r="B9" s="18"/>
      <c r="C9" s="2"/>
      <c r="D9" s="2"/>
      <c r="E9" s="2"/>
      <c r="F9" s="2"/>
      <c r="G9" s="292"/>
      <c r="H9" s="2"/>
      <c r="I9" s="2"/>
      <c r="J9" s="2"/>
      <c r="K9" s="292"/>
      <c r="L9" s="2"/>
      <c r="M9" s="2"/>
      <c r="N9" s="2"/>
      <c r="O9" s="23"/>
    </row>
    <row r="10" spans="2:15" ht="13.5" thickBot="1">
      <c r="B10" s="73" t="s">
        <v>22</v>
      </c>
      <c r="C10" s="296">
        <v>48</v>
      </c>
      <c r="D10" s="22" t="s">
        <v>23</v>
      </c>
      <c r="E10" s="2"/>
      <c r="F10" s="19" t="s">
        <v>60</v>
      </c>
      <c r="G10" s="296">
        <v>6400</v>
      </c>
      <c r="H10" s="2"/>
      <c r="I10" s="2"/>
      <c r="J10" s="19" t="s">
        <v>61</v>
      </c>
      <c r="K10" s="296">
        <v>5600</v>
      </c>
      <c r="L10" s="2"/>
      <c r="M10" s="24" t="s">
        <v>88</v>
      </c>
      <c r="N10" s="24"/>
      <c r="O10" s="69"/>
    </row>
    <row r="11" spans="2:15" ht="13.5" thickBot="1">
      <c r="B11" s="3"/>
      <c r="C11" s="1"/>
      <c r="D11" s="1"/>
      <c r="E11" s="1"/>
      <c r="F11" s="1"/>
      <c r="G11" s="293"/>
      <c r="H11" s="1"/>
      <c r="I11" s="1"/>
      <c r="J11" s="1"/>
      <c r="K11" s="293"/>
      <c r="L11" s="1"/>
      <c r="M11" s="1"/>
      <c r="N11" s="1"/>
      <c r="O11" s="4"/>
    </row>
    <row r="12" spans="2:15" ht="6" customHeight="1" thickBo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ht="22.5" customHeight="1" thickBot="1">
      <c r="B13" s="329" t="s">
        <v>144</v>
      </c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1"/>
    </row>
    <row r="14" spans="2:15" ht="15.75" customHeight="1" thickBot="1">
      <c r="B14" s="256"/>
      <c r="C14" s="257"/>
      <c r="D14" s="257"/>
      <c r="E14" s="262"/>
      <c r="F14" s="335" t="s">
        <v>121</v>
      </c>
      <c r="G14" s="335"/>
      <c r="H14" s="335"/>
      <c r="I14" s="335"/>
      <c r="J14" s="335"/>
      <c r="K14" s="335"/>
      <c r="L14" s="335"/>
      <c r="M14" s="335"/>
      <c r="N14" s="335"/>
      <c r="O14" s="336"/>
    </row>
    <row r="15" spans="2:15" ht="13.5" thickBot="1">
      <c r="B15" s="14" t="s">
        <v>84</v>
      </c>
      <c r="C15" s="263">
        <f>(G16*(C8^2))/(33000*K8*G8)</f>
        <v>38.485225347181704</v>
      </c>
      <c r="D15" s="85" t="s">
        <v>122</v>
      </c>
      <c r="E15" s="7"/>
      <c r="F15" s="74" t="s">
        <v>120</v>
      </c>
      <c r="G15" s="260">
        <f>G4+(((G4+0.3+G6)-G4)*(K6/K4))</f>
        <v>64.66901408450704</v>
      </c>
      <c r="H15" s="264" t="s">
        <v>68</v>
      </c>
      <c r="I15" s="259"/>
      <c r="J15" s="258"/>
      <c r="K15" s="258"/>
      <c r="L15" s="258"/>
      <c r="M15" s="258"/>
      <c r="N15" s="258"/>
      <c r="O15" s="259"/>
    </row>
    <row r="16" spans="2:15" ht="13.5" thickBot="1">
      <c r="B16" s="110"/>
      <c r="C16" s="111"/>
      <c r="D16" s="112"/>
      <c r="E16" s="17"/>
      <c r="F16" s="261" t="s">
        <v>49</v>
      </c>
      <c r="G16" s="281">
        <f>K4*(G15/12)</f>
        <v>153.04999999999998</v>
      </c>
      <c r="H16" s="80" t="s">
        <v>5</v>
      </c>
      <c r="I16" s="81"/>
      <c r="J16" s="74" t="s">
        <v>50</v>
      </c>
      <c r="K16" s="82">
        <f>C4/G16</f>
        <v>6.860503103560928</v>
      </c>
      <c r="L16" s="81" t="s">
        <v>48</v>
      </c>
      <c r="M16" s="83"/>
      <c r="N16" s="74" t="s">
        <v>4</v>
      </c>
      <c r="O16" s="84">
        <f>K4/(G15/12)</f>
        <v>5.269911793531525</v>
      </c>
    </row>
    <row r="17" spans="2:15" ht="5.25" customHeight="1">
      <c r="B17" s="26"/>
      <c r="C17" s="6"/>
      <c r="D17" s="6"/>
      <c r="E17" s="6"/>
      <c r="F17" s="6"/>
      <c r="G17" s="6"/>
      <c r="H17" s="6"/>
      <c r="I17" s="6"/>
      <c r="J17" s="10"/>
      <c r="K17" s="6"/>
      <c r="L17" s="6"/>
      <c r="M17" s="6"/>
      <c r="N17" s="6"/>
      <c r="O17" s="99"/>
    </row>
    <row r="18" spans="2:15" ht="13.5" thickBot="1">
      <c r="B18" s="139" t="s">
        <v>82</v>
      </c>
      <c r="C18" s="111">
        <f>(C10-C15)-0.1</f>
        <v>9.414774652818297</v>
      </c>
      <c r="D18" s="101" t="s">
        <v>83</v>
      </c>
      <c r="E18" s="113"/>
      <c r="F18" s="105" t="s">
        <v>58</v>
      </c>
      <c r="G18" s="265">
        <f>C4/C10</f>
        <v>21.875</v>
      </c>
      <c r="H18" s="103" t="s">
        <v>51</v>
      </c>
      <c r="I18" s="16"/>
      <c r="J18" s="107" t="s">
        <v>52</v>
      </c>
      <c r="K18" s="265">
        <f>K16+G18</f>
        <v>28.73550310356093</v>
      </c>
      <c r="L18" s="114" t="s">
        <v>53</v>
      </c>
      <c r="M18" s="16"/>
      <c r="N18" s="16"/>
      <c r="O18" s="17"/>
    </row>
    <row r="19" spans="2:15" ht="5.25" customHeight="1">
      <c r="B19" s="14"/>
      <c r="C19" s="11"/>
      <c r="D19" s="85"/>
      <c r="E19" s="86"/>
      <c r="F19" s="9"/>
      <c r="G19" s="27"/>
      <c r="H19" s="28"/>
      <c r="I19" s="6"/>
      <c r="J19" s="9"/>
      <c r="K19" s="29"/>
      <c r="L19" s="6"/>
      <c r="M19" s="6"/>
      <c r="N19" s="6"/>
      <c r="O19" s="7"/>
    </row>
    <row r="20" spans="2:15" ht="13.5" thickBot="1">
      <c r="B20" s="254" t="s">
        <v>25</v>
      </c>
      <c r="C20" s="255">
        <f>(45.7-25.2*(((C8/(0.7*K4^2))*(C8/C10))/((C8/(0.032*0.6*C10))/(C8/C10)))^0.3333)*370</f>
        <v>15360.32830857363</v>
      </c>
      <c r="D20" s="101" t="s">
        <v>7</v>
      </c>
      <c r="E20" s="102"/>
      <c r="F20" s="103" t="s">
        <v>24</v>
      </c>
      <c r="G20" s="104">
        <f>(K20-100)/(K20/C20)</f>
        <v>12738.416105772141</v>
      </c>
      <c r="H20" s="103" t="s">
        <v>7</v>
      </c>
      <c r="I20" s="16"/>
      <c r="J20" s="105" t="s">
        <v>56</v>
      </c>
      <c r="K20" s="291">
        <f>(33000*C10*G8*K8/C4)-(225*K16^0.5)</f>
        <v>585.8444951803218</v>
      </c>
      <c r="L20" s="103" t="s">
        <v>19</v>
      </c>
      <c r="M20" s="114" t="s">
        <v>27</v>
      </c>
      <c r="N20" s="108"/>
      <c r="O20" s="122"/>
    </row>
    <row r="21" spans="2:15" ht="4.5" customHeight="1">
      <c r="B21" s="115"/>
      <c r="C21" s="116"/>
      <c r="D21" s="85"/>
      <c r="E21" s="85"/>
      <c r="F21" s="6"/>
      <c r="G21" s="6"/>
      <c r="H21" s="6"/>
      <c r="I21" s="6"/>
      <c r="J21" s="6"/>
      <c r="K21" s="6"/>
      <c r="L21" s="6"/>
      <c r="M21" s="286"/>
      <c r="N21" s="25"/>
      <c r="O21" s="287"/>
    </row>
    <row r="22" spans="2:15" ht="12.75">
      <c r="B22" s="14" t="s">
        <v>9</v>
      </c>
      <c r="C22" s="128" t="s">
        <v>76</v>
      </c>
      <c r="D22" s="87">
        <f>O4</f>
        <v>1.627</v>
      </c>
      <c r="E22" s="94">
        <f>G22/1.150779</f>
        <v>35.28255756232368</v>
      </c>
      <c r="F22" s="9" t="s">
        <v>18</v>
      </c>
      <c r="G22" s="79">
        <f>((2*K16/(0.002378*O4))^0.5)/1.4667</f>
        <v>40.60242630901328</v>
      </c>
      <c r="H22" s="72" t="s">
        <v>101</v>
      </c>
      <c r="I22" s="72"/>
      <c r="J22" s="9" t="s">
        <v>10</v>
      </c>
      <c r="K22" s="91">
        <f>(1.47*G22*O16*5900)/1000000</f>
        <v>1.8557722631494147</v>
      </c>
      <c r="L22" s="85" t="s">
        <v>17</v>
      </c>
      <c r="M22" s="298" t="s">
        <v>132</v>
      </c>
      <c r="N22" s="12"/>
      <c r="O22" s="299">
        <f>33*(K16^0.5)</f>
        <v>86.43545499260041</v>
      </c>
    </row>
    <row r="23" spans="2:15" ht="12.75">
      <c r="B23" s="14"/>
      <c r="C23" s="85" t="s">
        <v>103</v>
      </c>
      <c r="D23" s="87">
        <f>O6</f>
        <v>2.06</v>
      </c>
      <c r="E23" s="94">
        <f>G23/1.150779</f>
        <v>32.76884242418227</v>
      </c>
      <c r="F23" s="9" t="s">
        <v>18</v>
      </c>
      <c r="G23" s="79">
        <f>((2*K16/(0.002378*(O4+((K6/K4)*(O6-O4)))))^0.5)/1.4667</f>
        <v>37.70969571605804</v>
      </c>
      <c r="H23" s="72" t="s">
        <v>102</v>
      </c>
      <c r="I23" s="72"/>
      <c r="J23" s="9" t="s">
        <v>10</v>
      </c>
      <c r="K23" s="91">
        <f>(1.47*G23*O16*5900)/1000000</f>
        <v>1.7235572778105113</v>
      </c>
      <c r="L23" s="85" t="s">
        <v>17</v>
      </c>
      <c r="M23" s="288"/>
      <c r="N23" s="12"/>
      <c r="O23" s="7"/>
    </row>
    <row r="24" spans="2:15" ht="12.75">
      <c r="B24" s="26"/>
      <c r="C24" s="6"/>
      <c r="D24" s="85"/>
      <c r="E24" s="85"/>
      <c r="F24" s="10"/>
      <c r="G24" s="72"/>
      <c r="H24" s="6"/>
      <c r="I24" s="6"/>
      <c r="J24" s="6"/>
      <c r="K24" s="85"/>
      <c r="L24" s="85"/>
      <c r="M24" s="300" t="s">
        <v>133</v>
      </c>
      <c r="N24" s="6"/>
      <c r="O24" s="299">
        <f>1.9*G22*0.875</f>
        <v>67.50153373873458</v>
      </c>
    </row>
    <row r="25" spans="2:15" ht="12.75">
      <c r="B25" s="14" t="s">
        <v>13</v>
      </c>
      <c r="C25" s="6"/>
      <c r="D25" s="87">
        <f>C4/(0.5*0.002378*G16*(1.2*(1.4667*G22))^2)</f>
        <v>1.1298611111111114</v>
      </c>
      <c r="E25" s="94">
        <f>G25/1.150779</f>
        <v>42.33906907478842</v>
      </c>
      <c r="F25" s="9" t="s">
        <v>18</v>
      </c>
      <c r="G25" s="79">
        <f>1.2*G22</f>
        <v>48.72291157081594</v>
      </c>
      <c r="H25" s="6"/>
      <c r="I25" s="6"/>
      <c r="J25" s="9" t="s">
        <v>10</v>
      </c>
      <c r="K25" s="91">
        <f>(1.47*G25*O16*5900)/1000000</f>
        <v>2.226926715779297</v>
      </c>
      <c r="L25" s="85" t="s">
        <v>17</v>
      </c>
      <c r="M25" s="70"/>
      <c r="N25" s="6"/>
      <c r="O25" s="7"/>
    </row>
    <row r="26" spans="2:15" ht="12.75">
      <c r="B26" s="26"/>
      <c r="C26" s="6"/>
      <c r="D26" s="85"/>
      <c r="E26" s="85"/>
      <c r="F26" s="10"/>
      <c r="G26" s="6"/>
      <c r="H26" s="6"/>
      <c r="I26" s="6"/>
      <c r="J26" s="6"/>
      <c r="K26" s="85"/>
      <c r="L26" s="85"/>
      <c r="M26" s="70"/>
      <c r="N26" s="6"/>
      <c r="O26" s="7"/>
    </row>
    <row r="27" spans="2:15" ht="12.75">
      <c r="B27" s="14" t="s">
        <v>14</v>
      </c>
      <c r="C27" s="6"/>
      <c r="D27" s="87">
        <f>C4/(0.5*0.002378*G16*((1.47*G27)^2))</f>
        <v>0.7529270211485954</v>
      </c>
      <c r="E27" s="94">
        <f>G27/1.150779</f>
        <v>51.74892717666013</v>
      </c>
      <c r="F27" s="9" t="s">
        <v>18</v>
      </c>
      <c r="G27" s="79">
        <f>1.4667*G22</f>
        <v>59.55157866742977</v>
      </c>
      <c r="H27" s="6"/>
      <c r="I27" s="6"/>
      <c r="J27" s="9" t="s">
        <v>10</v>
      </c>
      <c r="K27" s="91">
        <f>(1.47*G27*O16*5900)/1000000</f>
        <v>2.721861178361246</v>
      </c>
      <c r="L27" s="85" t="s">
        <v>17</v>
      </c>
      <c r="M27" s="70"/>
      <c r="N27" s="6"/>
      <c r="O27" s="7"/>
    </row>
    <row r="28" spans="2:15" ht="12.75">
      <c r="B28" s="26"/>
      <c r="C28" s="6"/>
      <c r="D28" s="85"/>
      <c r="E28" s="85"/>
      <c r="F28" s="10"/>
      <c r="G28" s="96"/>
      <c r="H28" s="6"/>
      <c r="I28" s="6"/>
      <c r="J28" s="6"/>
      <c r="K28" s="85"/>
      <c r="L28" s="85"/>
      <c r="M28" s="70"/>
      <c r="N28" s="6"/>
      <c r="O28" s="7"/>
    </row>
    <row r="29" spans="2:15" ht="12.75">
      <c r="B29" s="14" t="s">
        <v>16</v>
      </c>
      <c r="C29" s="6"/>
      <c r="D29" s="87">
        <f>C4/(0.5*0.002378*G16*(1.47*G29)^2)</f>
        <v>0.4392091726908102</v>
      </c>
      <c r="E29" s="94">
        <f>G29/1.150779</f>
        <v>67.75511576640922</v>
      </c>
      <c r="F29" s="9" t="s">
        <v>18</v>
      </c>
      <c r="G29" s="79">
        <f>133*((0.8*C15/G16)^0.333)</f>
        <v>77.97116436655263</v>
      </c>
      <c r="H29" s="78"/>
      <c r="I29" s="6"/>
      <c r="J29" s="9" t="s">
        <v>10</v>
      </c>
      <c r="K29" s="91">
        <f>(1.47*G29*O16*5900)/1000000</f>
        <v>3.5637457489773534</v>
      </c>
      <c r="L29" s="85" t="s">
        <v>17</v>
      </c>
      <c r="M29" s="70"/>
      <c r="N29" s="6"/>
      <c r="O29" s="7"/>
    </row>
    <row r="30" spans="2:15" ht="12.75">
      <c r="B30" s="26"/>
      <c r="C30" s="6"/>
      <c r="D30" s="85"/>
      <c r="E30" s="85"/>
      <c r="F30" s="10"/>
      <c r="G30" s="6"/>
      <c r="H30" s="6"/>
      <c r="I30" s="6"/>
      <c r="J30" s="6"/>
      <c r="K30" s="85"/>
      <c r="L30" s="85"/>
      <c r="M30" s="70"/>
      <c r="N30" s="6"/>
      <c r="O30" s="7"/>
    </row>
    <row r="31" spans="2:15" ht="12.75">
      <c r="B31" s="14" t="s">
        <v>15</v>
      </c>
      <c r="C31" s="6"/>
      <c r="D31" s="87">
        <f>C4/(0.5*0.002378*G16*(1.47*G31)^2)</f>
        <v>0.2841217193871018</v>
      </c>
      <c r="E31" s="94">
        <f>G31/1.150779</f>
        <v>84.24139992634406</v>
      </c>
      <c r="F31" s="9" t="s">
        <v>18</v>
      </c>
      <c r="G31" s="79">
        <f>155*(((G8*K8*C10)/G16)^0.333)</f>
        <v>96.94323396583829</v>
      </c>
      <c r="H31" s="6"/>
      <c r="I31" s="6"/>
      <c r="J31" s="9" t="s">
        <v>10</v>
      </c>
      <c r="K31" s="91">
        <f>(1.47*G31*O16*5900)/1000000</f>
        <v>4.430882118339566</v>
      </c>
      <c r="L31" s="85" t="s">
        <v>17</v>
      </c>
      <c r="M31" s="70"/>
      <c r="N31" s="6"/>
      <c r="O31" s="7"/>
    </row>
    <row r="32" spans="2:15" ht="7.5" customHeight="1" thickBot="1">
      <c r="B32" s="109"/>
      <c r="C32" s="16"/>
      <c r="D32" s="101"/>
      <c r="E32" s="100"/>
      <c r="F32" s="97"/>
      <c r="G32" s="16"/>
      <c r="H32" s="16"/>
      <c r="I32" s="16"/>
      <c r="J32" s="16"/>
      <c r="K32" s="101"/>
      <c r="L32" s="101"/>
      <c r="M32" s="289"/>
      <c r="N32" s="16"/>
      <c r="O32" s="17"/>
    </row>
    <row r="33" spans="2:15" ht="17.25" customHeight="1">
      <c r="B33" s="140" t="s">
        <v>85</v>
      </c>
      <c r="C33" s="141">
        <f>720*750/((K10/O8)*3.1416)</f>
        <v>70.07155134781186</v>
      </c>
      <c r="D33" s="142" t="s">
        <v>11</v>
      </c>
      <c r="E33" s="143">
        <f>G33/1.15</f>
        <v>69.02734257155957</v>
      </c>
      <c r="F33" s="144" t="s">
        <v>57</v>
      </c>
      <c r="G33" s="145">
        <f>19*((K4/O4)^0.5)</f>
        <v>79.3814439572935</v>
      </c>
      <c r="H33" s="25"/>
      <c r="I33" s="25"/>
      <c r="J33" s="144" t="s">
        <v>12</v>
      </c>
      <c r="K33" s="146">
        <f>G33*1056/(K10/O8)</f>
        <v>34.172895128762725</v>
      </c>
      <c r="L33" s="142" t="s">
        <v>11</v>
      </c>
      <c r="M33" s="142" t="s">
        <v>20</v>
      </c>
      <c r="N33" s="147" t="s">
        <v>54</v>
      </c>
      <c r="O33" s="148" t="s">
        <v>55</v>
      </c>
    </row>
    <row r="34" spans="2:15" ht="15" customHeight="1">
      <c r="B34" s="14" t="s">
        <v>73</v>
      </c>
      <c r="C34" s="90">
        <f>K10/O8</f>
        <v>2453.0202812212533</v>
      </c>
      <c r="D34" s="85" t="s">
        <v>72</v>
      </c>
      <c r="E34" s="88"/>
      <c r="F34" s="78" t="s">
        <v>126</v>
      </c>
      <c r="G34" s="96"/>
      <c r="H34" s="6"/>
      <c r="I34" s="6"/>
      <c r="J34" s="9"/>
      <c r="K34" s="92"/>
      <c r="L34" s="85"/>
      <c r="M34" s="85"/>
      <c r="N34" s="119"/>
      <c r="O34" s="120"/>
    </row>
    <row r="35" spans="2:15" ht="12.75">
      <c r="B35" s="26"/>
      <c r="C35" s="89"/>
      <c r="D35" s="85"/>
      <c r="E35" s="88"/>
      <c r="F35" s="95"/>
      <c r="G35" s="15"/>
      <c r="H35" s="13"/>
      <c r="I35" s="6"/>
      <c r="J35" s="10"/>
      <c r="K35" s="92"/>
      <c r="L35" s="85"/>
      <c r="M35" s="85"/>
      <c r="N35" s="85"/>
      <c r="O35" s="93"/>
    </row>
    <row r="36" spans="2:15" ht="12.75">
      <c r="B36" s="14" t="s">
        <v>86</v>
      </c>
      <c r="C36" s="89">
        <f>720*850/((G10/O8)*3.1416)</f>
        <v>69.48762175324676</v>
      </c>
      <c r="D36" s="85" t="s">
        <v>11</v>
      </c>
      <c r="E36" s="88"/>
      <c r="F36" s="10"/>
      <c r="G36" s="15"/>
      <c r="H36" s="6"/>
      <c r="I36" s="6"/>
      <c r="J36" s="9" t="s">
        <v>12</v>
      </c>
      <c r="K36" s="92">
        <f>G27*1056/(G10/O8)</f>
        <v>22.431799325079446</v>
      </c>
      <c r="L36" s="85" t="s">
        <v>11</v>
      </c>
      <c r="M36" s="85" t="s">
        <v>21</v>
      </c>
      <c r="N36" s="85"/>
      <c r="O36" s="93"/>
    </row>
    <row r="37" spans="2:15" ht="15.75" customHeight="1">
      <c r="B37" s="14" t="s">
        <v>73</v>
      </c>
      <c r="C37" s="90">
        <f>G10/O8</f>
        <v>2803.451749967147</v>
      </c>
      <c r="D37" s="85" t="s">
        <v>72</v>
      </c>
      <c r="E37" s="88"/>
      <c r="F37" s="10"/>
      <c r="G37" s="15"/>
      <c r="H37" s="6"/>
      <c r="I37" s="6"/>
      <c r="J37" s="9"/>
      <c r="K37" s="92"/>
      <c r="L37" s="85"/>
      <c r="M37" s="85"/>
      <c r="N37" s="85"/>
      <c r="O37" s="93"/>
    </row>
    <row r="38" spans="2:15" ht="18">
      <c r="B38" s="14" t="s">
        <v>87</v>
      </c>
      <c r="C38" s="90">
        <f>(375*C15*G8*K8)/G29</f>
        <v>144.18787440050284</v>
      </c>
      <c r="D38" s="85" t="s">
        <v>1</v>
      </c>
      <c r="E38" s="78" t="s">
        <v>26</v>
      </c>
      <c r="F38" s="6"/>
      <c r="G38" s="118"/>
      <c r="H38" s="6"/>
      <c r="I38" s="6"/>
      <c r="J38" s="10"/>
      <c r="K38" s="8"/>
      <c r="L38" s="6"/>
      <c r="M38" s="6"/>
      <c r="N38" s="6"/>
      <c r="O38" s="7"/>
    </row>
    <row r="39" spans="2:15" ht="12.75">
      <c r="B39" s="70"/>
      <c r="C39" s="90">
        <f>(375*C10*(0.9*G8)*K8)/G27</f>
        <v>211.9137776426753</v>
      </c>
      <c r="D39" s="85" t="s">
        <v>1</v>
      </c>
      <c r="E39" s="78" t="s">
        <v>62</v>
      </c>
      <c r="F39" s="6"/>
      <c r="G39" s="6"/>
      <c r="H39" s="6"/>
      <c r="I39" s="6"/>
      <c r="J39" s="10"/>
      <c r="K39" s="8"/>
      <c r="L39" s="6"/>
      <c r="M39" s="6"/>
      <c r="N39" s="6"/>
      <c r="O39" s="7"/>
    </row>
    <row r="40" spans="2:15" ht="12.75">
      <c r="B40" s="290"/>
      <c r="C40" s="90">
        <f>C39*2650/2300</f>
        <v>244.16152641438677</v>
      </c>
      <c r="D40" s="85" t="s">
        <v>1</v>
      </c>
      <c r="E40" s="85" t="s">
        <v>80</v>
      </c>
      <c r="F40" s="116"/>
      <c r="G40" s="6"/>
      <c r="H40" s="6"/>
      <c r="I40" s="6"/>
      <c r="J40" s="10"/>
      <c r="K40" s="8"/>
      <c r="L40" s="6"/>
      <c r="M40" s="6"/>
      <c r="N40" s="6"/>
      <c r="O40" s="7"/>
    </row>
    <row r="41" spans="2:15" ht="6" customHeight="1" thickBot="1">
      <c r="B41" s="149"/>
      <c r="C41" s="106"/>
      <c r="D41" s="101"/>
      <c r="E41" s="101"/>
      <c r="F41" s="117"/>
      <c r="G41" s="16"/>
      <c r="H41" s="16"/>
      <c r="I41" s="16"/>
      <c r="J41" s="97"/>
      <c r="K41" s="98"/>
      <c r="L41" s="16"/>
      <c r="M41" s="16"/>
      <c r="N41" s="16"/>
      <c r="O41" s="17"/>
    </row>
    <row r="43" ht="15">
      <c r="B43" s="164" t="s">
        <v>98</v>
      </c>
    </row>
    <row r="44" ht="15">
      <c r="B44" s="163" t="s">
        <v>145</v>
      </c>
    </row>
    <row r="45" ht="15">
      <c r="B45" s="308" t="s">
        <v>137</v>
      </c>
    </row>
    <row r="47" ht="15">
      <c r="B47" s="163" t="s">
        <v>118</v>
      </c>
    </row>
    <row r="48" ht="15">
      <c r="B48" s="163" t="s">
        <v>99</v>
      </c>
    </row>
    <row r="50" ht="15">
      <c r="B50" s="163" t="s">
        <v>116</v>
      </c>
    </row>
    <row r="51" ht="15">
      <c r="B51" s="163" t="s">
        <v>113</v>
      </c>
    </row>
    <row r="52" ht="15">
      <c r="B52" s="163" t="s">
        <v>114</v>
      </c>
    </row>
  </sheetData>
  <mergeCells count="3">
    <mergeCell ref="B13:O13"/>
    <mergeCell ref="B2:O2"/>
    <mergeCell ref="F14:O14"/>
  </mergeCells>
  <printOptions/>
  <pageMargins left="0.75" right="0.75" top="1" bottom="1" header="0.5" footer="0.5"/>
  <pageSetup horizontalDpi="360" verticalDpi="360" orientation="portrait" scale="4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tabSelected="1" zoomScale="75" zoomScaleNormal="75" workbookViewId="0" topLeftCell="A1">
      <pane xSplit="9" ySplit="10" topLeftCell="J47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H62" sqref="H62"/>
    </sheetView>
  </sheetViews>
  <sheetFormatPr defaultColWidth="9.140625" defaultRowHeight="12.75"/>
  <cols>
    <col min="1" max="1" width="4.8515625" style="0" customWidth="1"/>
    <col min="2" max="2" width="2.8515625" style="30" customWidth="1"/>
    <col min="3" max="3" width="36.421875" style="0" customWidth="1"/>
    <col min="4" max="4" width="10.00390625" style="0" customWidth="1"/>
    <col min="5" max="5" width="8.140625" style="0" customWidth="1"/>
    <col min="6" max="6" width="11.00390625" style="0" customWidth="1"/>
    <col min="7" max="7" width="14.57421875" style="0" customWidth="1"/>
    <col min="8" max="8" width="15.8515625" style="0" customWidth="1"/>
    <col min="9" max="9" width="12.140625" style="0" customWidth="1"/>
    <col min="10" max="10" width="5.28125" style="0" customWidth="1"/>
    <col min="11" max="11" width="7.00390625" style="0" customWidth="1"/>
    <col min="12" max="12" width="6.8515625" style="0" customWidth="1"/>
    <col min="13" max="13" width="9.28125" style="0" bestFit="1" customWidth="1"/>
    <col min="14" max="14" width="10.140625" style="0" customWidth="1"/>
    <col min="15" max="15" width="10.00390625" style="0" customWidth="1"/>
    <col min="16" max="16" width="9.421875" style="0" customWidth="1"/>
    <col min="17" max="17" width="8.7109375" style="0" customWidth="1"/>
    <col min="18" max="18" width="4.8515625" style="0" customWidth="1"/>
    <col min="19" max="19" width="9.8515625" style="0" customWidth="1"/>
    <col min="20" max="20" width="12.00390625" style="0" customWidth="1"/>
  </cols>
  <sheetData>
    <row r="1" ht="12.75">
      <c r="A1" t="s">
        <v>27</v>
      </c>
    </row>
    <row r="2" spans="2:15" ht="19.5" customHeight="1">
      <c r="B2"/>
      <c r="C2" s="337" t="s">
        <v>28</v>
      </c>
      <c r="D2" s="337"/>
      <c r="E2" s="337"/>
      <c r="F2" s="337"/>
      <c r="G2" s="337"/>
      <c r="H2" s="337"/>
      <c r="I2" s="337"/>
      <c r="J2" s="30"/>
      <c r="K2" s="30"/>
      <c r="L2" s="30"/>
      <c r="M2" s="30"/>
      <c r="N2" s="30"/>
      <c r="O2" s="30"/>
    </row>
    <row r="3" spans="2:6" ht="13.5" thickBot="1">
      <c r="B3"/>
      <c r="C3" s="31"/>
      <c r="E3" s="32"/>
      <c r="F3" s="32"/>
    </row>
    <row r="4" spans="2:9" ht="12.75">
      <c r="B4" s="306">
        <v>1</v>
      </c>
      <c r="C4" s="186" t="s">
        <v>78</v>
      </c>
      <c r="D4" s="184" t="s">
        <v>160</v>
      </c>
      <c r="E4" s="33"/>
      <c r="F4" s="33"/>
      <c r="G4" s="33"/>
      <c r="H4" s="33" t="s">
        <v>89</v>
      </c>
      <c r="I4" s="34"/>
    </row>
    <row r="5" spans="2:14" ht="12.75">
      <c r="B5" s="305">
        <v>2</v>
      </c>
      <c r="C5" s="187" t="s">
        <v>29</v>
      </c>
      <c r="D5" s="21" t="s">
        <v>161</v>
      </c>
      <c r="E5" s="2"/>
      <c r="F5" s="2"/>
      <c r="G5" s="2"/>
      <c r="H5" s="2" t="s">
        <v>146</v>
      </c>
      <c r="I5" s="20"/>
      <c r="L5" s="35"/>
      <c r="M5" s="45"/>
      <c r="N5" s="57"/>
    </row>
    <row r="6" spans="2:9" ht="12.75">
      <c r="B6" s="305">
        <v>3</v>
      </c>
      <c r="C6" s="187" t="s">
        <v>46</v>
      </c>
      <c r="D6" s="21" t="s">
        <v>91</v>
      </c>
      <c r="E6" s="2"/>
      <c r="F6" s="2"/>
      <c r="G6" s="2" t="s">
        <v>90</v>
      </c>
      <c r="H6" s="2"/>
      <c r="I6" s="20"/>
    </row>
    <row r="7" spans="2:9" ht="13.5" thickBot="1">
      <c r="B7" s="304">
        <v>4</v>
      </c>
      <c r="C7" s="188" t="s">
        <v>69</v>
      </c>
      <c r="D7" s="185" t="s">
        <v>79</v>
      </c>
      <c r="E7" s="1"/>
      <c r="F7" s="1"/>
      <c r="G7" s="1"/>
      <c r="H7" s="1"/>
      <c r="I7" s="4"/>
    </row>
    <row r="8" spans="2:9" ht="13.5" thickBot="1">
      <c r="B8" s="36"/>
      <c r="C8" s="35"/>
      <c r="D8" s="37"/>
      <c r="E8" s="37"/>
      <c r="F8" s="37"/>
      <c r="G8" s="37"/>
      <c r="H8" s="37"/>
      <c r="I8" s="38"/>
    </row>
    <row r="9" spans="2:9" ht="13.5" thickBot="1">
      <c r="B9" s="36"/>
      <c r="C9" s="35"/>
      <c r="D9" s="182" t="s">
        <v>30</v>
      </c>
      <c r="E9" s="181"/>
      <c r="F9" s="182" t="s">
        <v>64</v>
      </c>
      <c r="G9" s="182" t="s">
        <v>65</v>
      </c>
      <c r="H9" s="181"/>
      <c r="I9" s="182" t="s">
        <v>31</v>
      </c>
    </row>
    <row r="10" spans="2:10" ht="13.5" thickBot="1">
      <c r="B10" s="301" t="s">
        <v>32</v>
      </c>
      <c r="C10" s="176" t="s">
        <v>33</v>
      </c>
      <c r="D10" s="183" t="s">
        <v>34</v>
      </c>
      <c r="E10" s="158" t="s">
        <v>35</v>
      </c>
      <c r="F10" s="183" t="s">
        <v>36</v>
      </c>
      <c r="G10" s="183" t="s">
        <v>37</v>
      </c>
      <c r="H10" s="219" t="s">
        <v>38</v>
      </c>
      <c r="I10" s="183" t="s">
        <v>39</v>
      </c>
      <c r="J10" s="35"/>
    </row>
    <row r="11" spans="2:9" ht="12.75">
      <c r="B11" s="190"/>
      <c r="C11" s="251" t="s">
        <v>40</v>
      </c>
      <c r="D11" s="249">
        <v>203</v>
      </c>
      <c r="E11" s="215">
        <v>0</v>
      </c>
      <c r="F11" s="216">
        <f>D11-E11</f>
        <v>203</v>
      </c>
      <c r="G11" s="217">
        <v>90</v>
      </c>
      <c r="H11" s="218">
        <f aca="true" t="shared" si="0" ref="H11:H19">F11*G11</f>
        <v>18270</v>
      </c>
      <c r="I11" s="129"/>
    </row>
    <row r="12" spans="2:9" ht="12.75">
      <c r="B12" s="191"/>
      <c r="C12" s="252" t="s">
        <v>41</v>
      </c>
      <c r="D12" s="222">
        <v>207</v>
      </c>
      <c r="E12" s="195">
        <v>0</v>
      </c>
      <c r="F12" s="196">
        <f>D12-E12</f>
        <v>207</v>
      </c>
      <c r="G12" s="197">
        <v>90</v>
      </c>
      <c r="H12" s="198">
        <f t="shared" si="0"/>
        <v>18630</v>
      </c>
      <c r="I12" s="40"/>
    </row>
    <row r="13" spans="2:9" ht="12.75">
      <c r="B13" s="191"/>
      <c r="C13" s="253" t="s">
        <v>81</v>
      </c>
      <c r="D13" s="222">
        <v>39.5</v>
      </c>
      <c r="E13" s="195">
        <v>0</v>
      </c>
      <c r="F13" s="196">
        <f>D13+E13</f>
        <v>39.5</v>
      </c>
      <c r="G13" s="197">
        <v>216</v>
      </c>
      <c r="H13" s="198">
        <f t="shared" si="0"/>
        <v>8532</v>
      </c>
      <c r="I13" s="40"/>
    </row>
    <row r="14" spans="2:9" ht="12.75">
      <c r="B14" s="191"/>
      <c r="C14" s="269" t="s">
        <v>92</v>
      </c>
      <c r="D14" s="250"/>
      <c r="E14" s="213"/>
      <c r="F14" s="196"/>
      <c r="G14" s="197"/>
      <c r="H14" s="198"/>
      <c r="I14" s="40"/>
    </row>
    <row r="15" spans="2:9" ht="12.75">
      <c r="B15" s="191"/>
      <c r="C15" s="267" t="s">
        <v>124</v>
      </c>
      <c r="D15" s="151"/>
      <c r="E15" s="214"/>
      <c r="F15" s="210">
        <v>-12.22</v>
      </c>
      <c r="G15" s="197">
        <v>103</v>
      </c>
      <c r="H15" s="198">
        <f t="shared" si="0"/>
        <v>-1258.66</v>
      </c>
      <c r="I15" s="40"/>
    </row>
    <row r="16" spans="2:9" ht="12.75">
      <c r="B16" s="191"/>
      <c r="C16" s="268" t="s">
        <v>93</v>
      </c>
      <c r="D16" s="151"/>
      <c r="E16" s="214"/>
      <c r="F16" s="211"/>
      <c r="G16" s="199">
        <v>216</v>
      </c>
      <c r="H16" s="200">
        <f t="shared" si="0"/>
        <v>0</v>
      </c>
      <c r="I16" s="40"/>
    </row>
    <row r="17" spans="2:9" ht="12.75">
      <c r="B17" s="191"/>
      <c r="C17" s="268" t="s">
        <v>125</v>
      </c>
      <c r="D17" s="214"/>
      <c r="E17" s="214"/>
      <c r="F17" s="210">
        <v>3.2</v>
      </c>
      <c r="G17" s="197">
        <v>110.3</v>
      </c>
      <c r="H17" s="200">
        <f t="shared" si="0"/>
        <v>352.96000000000004</v>
      </c>
      <c r="I17" s="40"/>
    </row>
    <row r="18" spans="2:9" ht="12.75">
      <c r="B18" s="192"/>
      <c r="C18" s="268" t="s">
        <v>138</v>
      </c>
      <c r="D18" s="151"/>
      <c r="E18" s="214"/>
      <c r="F18" s="212">
        <v>0.82</v>
      </c>
      <c r="G18" s="199">
        <v>112.3</v>
      </c>
      <c r="H18" s="200">
        <f t="shared" si="0"/>
        <v>92.086</v>
      </c>
      <c r="I18" s="40"/>
    </row>
    <row r="19" spans="2:16" ht="13.5" thickBot="1">
      <c r="B19" s="193"/>
      <c r="C19" s="248"/>
      <c r="D19" s="151"/>
      <c r="E19" s="214"/>
      <c r="F19" s="236"/>
      <c r="G19" s="238"/>
      <c r="H19" s="237">
        <f t="shared" si="0"/>
        <v>0</v>
      </c>
      <c r="I19" s="42"/>
      <c r="N19" s="52"/>
      <c r="O19" s="57"/>
      <c r="P19" s="46"/>
    </row>
    <row r="20" spans="2:10" ht="13.5" thickBot="1">
      <c r="B20" s="303">
        <v>6</v>
      </c>
      <c r="C20" s="43" t="s">
        <v>42</v>
      </c>
      <c r="D20" s="194"/>
      <c r="E20" s="150" t="s">
        <v>147</v>
      </c>
      <c r="F20" s="177">
        <f>SUM(F11:F19)</f>
        <v>441.29999999999995</v>
      </c>
      <c r="G20" s="239"/>
      <c r="H20" s="234">
        <f>SUM(H11:H19)</f>
        <v>44618.386</v>
      </c>
      <c r="I20" s="179">
        <f>H20/F20</f>
        <v>101.10669839111716</v>
      </c>
      <c r="J20" s="44"/>
    </row>
    <row r="21" spans="2:9" ht="13.5" thickBot="1">
      <c r="B21" s="47"/>
      <c r="C21" s="35"/>
      <c r="D21" s="48"/>
      <c r="E21" s="49"/>
      <c r="F21" s="49"/>
      <c r="G21" s="50"/>
      <c r="H21" s="50"/>
      <c r="I21" s="51"/>
    </row>
    <row r="22" spans="2:9" ht="13.5" thickBot="1">
      <c r="B22" s="302">
        <v>7</v>
      </c>
      <c r="C22" s="220" t="s">
        <v>43</v>
      </c>
      <c r="D22" s="182" t="s">
        <v>44</v>
      </c>
      <c r="E22" s="124" t="s">
        <v>162</v>
      </c>
      <c r="F22" s="125"/>
      <c r="G22" s="126">
        <v>50</v>
      </c>
      <c r="H22" s="127" t="s">
        <v>63</v>
      </c>
      <c r="I22" s="53"/>
    </row>
    <row r="23" spans="2:9" ht="12.75">
      <c r="B23" s="201"/>
      <c r="C23" s="223" t="s">
        <v>107</v>
      </c>
      <c r="D23" s="221">
        <f>(D24/G22)*128</f>
        <v>20.48</v>
      </c>
      <c r="E23" s="242"/>
      <c r="F23" s="243">
        <f>(D23/128)*5.5</f>
        <v>0.88</v>
      </c>
      <c r="G23" s="244">
        <v>103</v>
      </c>
      <c r="H23" s="245">
        <f aca="true" t="shared" si="1" ref="H23:H34">F23*G23</f>
        <v>90.64</v>
      </c>
      <c r="I23" s="40"/>
    </row>
    <row r="24" spans="2:9" ht="12.75">
      <c r="B24" s="170"/>
      <c r="C24" s="224" t="s">
        <v>106</v>
      </c>
      <c r="D24" s="222">
        <v>8</v>
      </c>
      <c r="E24" s="54"/>
      <c r="F24" s="205">
        <f>D24*6</f>
        <v>48</v>
      </c>
      <c r="G24" s="203">
        <v>103</v>
      </c>
      <c r="H24" s="204">
        <f t="shared" si="1"/>
        <v>4944</v>
      </c>
      <c r="I24" s="40"/>
    </row>
    <row r="25" spans="2:9" ht="12.75">
      <c r="B25" s="55"/>
      <c r="C25" s="225" t="s">
        <v>105</v>
      </c>
      <c r="D25" s="222"/>
      <c r="E25" s="54"/>
      <c r="F25" s="206">
        <f>D25*6</f>
        <v>0</v>
      </c>
      <c r="G25" s="203">
        <v>77</v>
      </c>
      <c r="H25" s="204">
        <f t="shared" si="1"/>
        <v>0</v>
      </c>
      <c r="I25" s="40"/>
    </row>
    <row r="26" spans="2:9" ht="12.75">
      <c r="B26" s="55"/>
      <c r="C26" s="226" t="s">
        <v>107</v>
      </c>
      <c r="D26" s="222">
        <f>(D25/G22)*128</f>
        <v>0</v>
      </c>
      <c r="E26" s="54"/>
      <c r="F26" s="207">
        <f>(D26/128)*5.5</f>
        <v>0</v>
      </c>
      <c r="G26" s="203">
        <v>77</v>
      </c>
      <c r="H26" s="204">
        <f>F26*G26</f>
        <v>0</v>
      </c>
      <c r="I26" s="40"/>
    </row>
    <row r="27" spans="2:9" ht="12.75">
      <c r="B27" s="36"/>
      <c r="C27" s="227" t="s">
        <v>108</v>
      </c>
      <c r="D27" s="54"/>
      <c r="E27" s="54"/>
      <c r="F27" s="202">
        <v>233</v>
      </c>
      <c r="G27" s="203">
        <v>50</v>
      </c>
      <c r="H27" s="204">
        <f t="shared" si="1"/>
        <v>11650</v>
      </c>
      <c r="I27" s="40"/>
    </row>
    <row r="28" spans="2:9" ht="12.75">
      <c r="B28" s="36"/>
      <c r="C28" s="228" t="s">
        <v>140</v>
      </c>
      <c r="D28" s="54"/>
      <c r="E28" s="54"/>
      <c r="F28" s="202">
        <v>2.5</v>
      </c>
      <c r="G28" s="203">
        <v>53</v>
      </c>
      <c r="H28" s="204">
        <f t="shared" si="1"/>
        <v>132.5</v>
      </c>
      <c r="I28" s="40"/>
    </row>
    <row r="29" spans="2:9" ht="12.75">
      <c r="B29" s="36"/>
      <c r="C29" s="227" t="s">
        <v>109</v>
      </c>
      <c r="D29" s="54"/>
      <c r="E29" s="54"/>
      <c r="F29" s="202">
        <v>285</v>
      </c>
      <c r="G29" s="203">
        <v>77</v>
      </c>
      <c r="H29" s="204">
        <f t="shared" si="1"/>
        <v>21945</v>
      </c>
      <c r="I29" s="40"/>
    </row>
    <row r="30" spans="2:9" ht="12.75">
      <c r="B30" s="36"/>
      <c r="C30" s="228" t="s">
        <v>141</v>
      </c>
      <c r="D30" s="54"/>
      <c r="E30" s="54"/>
      <c r="F30" s="202">
        <v>2.5</v>
      </c>
      <c r="G30" s="203">
        <v>80</v>
      </c>
      <c r="H30" s="204">
        <f t="shared" si="1"/>
        <v>200</v>
      </c>
      <c r="I30" s="40"/>
    </row>
    <row r="31" spans="2:9" ht="12.75">
      <c r="B31" s="36"/>
      <c r="C31" s="229" t="s">
        <v>110</v>
      </c>
      <c r="D31" s="54"/>
      <c r="E31" s="54"/>
      <c r="F31" s="202"/>
      <c r="G31" s="203"/>
      <c r="H31" s="204">
        <f t="shared" si="1"/>
        <v>0</v>
      </c>
      <c r="I31" s="40"/>
    </row>
    <row r="32" spans="2:9" ht="12.75">
      <c r="B32" s="36"/>
      <c r="C32" s="266" t="s">
        <v>134</v>
      </c>
      <c r="D32" s="341"/>
      <c r="E32" s="341"/>
      <c r="F32" s="202"/>
      <c r="G32" s="203">
        <v>35.31</v>
      </c>
      <c r="H32" s="204">
        <f t="shared" si="1"/>
        <v>0</v>
      </c>
      <c r="I32" s="40"/>
    </row>
    <row r="33" spans="2:12" ht="12.75">
      <c r="B33" s="36"/>
      <c r="C33" s="266" t="s">
        <v>135</v>
      </c>
      <c r="D33" s="342"/>
      <c r="E33" s="343"/>
      <c r="F33" s="202">
        <v>1.4</v>
      </c>
      <c r="G33" s="208">
        <v>35.31</v>
      </c>
      <c r="H33" s="204">
        <f t="shared" si="1"/>
        <v>49.434</v>
      </c>
      <c r="I33" s="40"/>
      <c r="L33" s="45"/>
    </row>
    <row r="34" spans="2:9" ht="12.75">
      <c r="B34" s="39"/>
      <c r="C34" s="266" t="s">
        <v>142</v>
      </c>
      <c r="D34" s="342"/>
      <c r="E34" s="343"/>
      <c r="F34" s="202"/>
      <c r="G34" s="203">
        <v>117</v>
      </c>
      <c r="H34" s="204">
        <f t="shared" si="1"/>
        <v>0</v>
      </c>
      <c r="I34" s="40"/>
    </row>
    <row r="35" spans="2:9" ht="15.75">
      <c r="B35" s="39"/>
      <c r="C35" s="230"/>
      <c r="D35" s="151"/>
      <c r="E35" s="159"/>
      <c r="F35" s="202"/>
      <c r="G35" s="208"/>
      <c r="H35" s="204"/>
      <c r="I35" s="40"/>
    </row>
    <row r="36" spans="2:9" ht="16.5" thickBot="1">
      <c r="B36" s="41"/>
      <c r="C36" s="231"/>
      <c r="D36" s="160"/>
      <c r="E36" s="161"/>
      <c r="F36" s="235"/>
      <c r="G36" s="240"/>
      <c r="H36" s="233"/>
      <c r="I36" s="40"/>
    </row>
    <row r="37" spans="2:15" ht="13.5" thickBot="1">
      <c r="B37" s="301">
        <v>8</v>
      </c>
      <c r="C37" s="209" t="s">
        <v>67</v>
      </c>
      <c r="D37" s="131"/>
      <c r="E37" s="131"/>
      <c r="F37" s="180">
        <f>SUM(F20:F36)</f>
        <v>1014.5799999999999</v>
      </c>
      <c r="G37" s="241"/>
      <c r="H37" s="234">
        <f>SUM(H20:H36)</f>
        <v>83629.95999999999</v>
      </c>
      <c r="I37" s="232">
        <f>H37/F37</f>
        <v>82.42815746417236</v>
      </c>
      <c r="J37" s="44"/>
      <c r="K37" s="76"/>
      <c r="O37" s="35"/>
    </row>
    <row r="38" spans="2:15" ht="13.5" thickBot="1">
      <c r="B38" s="156"/>
      <c r="C38" s="274"/>
      <c r="D38" s="275"/>
      <c r="E38" s="276" t="s">
        <v>117</v>
      </c>
      <c r="F38" s="277">
        <f>F37-F20</f>
        <v>573.28</v>
      </c>
      <c r="G38" s="278"/>
      <c r="H38" s="246" t="s">
        <v>66</v>
      </c>
      <c r="I38" s="247">
        <f>((I37-H57)/(G62))*100</f>
        <v>30.815619731160567</v>
      </c>
      <c r="J38" s="44"/>
      <c r="K38" s="76"/>
      <c r="O38" s="35"/>
    </row>
    <row r="39" spans="2:15" ht="12.75">
      <c r="B39" s="279"/>
      <c r="C39" s="338" t="s">
        <v>143</v>
      </c>
      <c r="D39" s="338"/>
      <c r="E39" s="338"/>
      <c r="F39" s="312">
        <f>((F37/'Design Data'!G16*391/'Design Data'!O4)^0.5)*1.3</f>
        <v>51.887701875720424</v>
      </c>
      <c r="G39" s="313" t="s">
        <v>0</v>
      </c>
      <c r="H39" s="270"/>
      <c r="I39" s="134"/>
      <c r="J39" s="44"/>
      <c r="K39" s="76"/>
      <c r="O39" s="35"/>
    </row>
    <row r="40" spans="2:15" ht="12.75">
      <c r="B40" s="279"/>
      <c r="C40" s="340" t="s">
        <v>149</v>
      </c>
      <c r="D40" s="340"/>
      <c r="E40" s="340"/>
      <c r="F40" s="316">
        <f>(F43/1.5)^0.5*(F37/'Design Data'!G16*391/'Design Data'!O4)^0.5</f>
        <v>70.88476834839955</v>
      </c>
      <c r="G40" s="318" t="s">
        <v>0</v>
      </c>
      <c r="H40" s="270"/>
      <c r="I40" s="134"/>
      <c r="J40" s="44"/>
      <c r="K40" s="76"/>
      <c r="O40" s="35"/>
    </row>
    <row r="41" spans="2:15" ht="13.5" thickBot="1">
      <c r="B41" s="279"/>
      <c r="C41" s="317"/>
      <c r="D41" s="317"/>
      <c r="E41" s="317"/>
      <c r="F41" s="316"/>
      <c r="G41" s="153"/>
      <c r="H41" s="270"/>
      <c r="I41" s="134"/>
      <c r="J41" s="44"/>
      <c r="K41" s="76"/>
      <c r="O41" s="35"/>
    </row>
    <row r="42" spans="2:15" ht="15">
      <c r="B42" s="279"/>
      <c r="C42" s="282" t="s">
        <v>129</v>
      </c>
      <c r="D42" s="272">
        <v>800</v>
      </c>
      <c r="E42" s="273" t="s">
        <v>130</v>
      </c>
      <c r="F42" s="284">
        <f>(800/D42)*6</f>
        <v>6</v>
      </c>
      <c r="G42" s="283" t="s">
        <v>148</v>
      </c>
      <c r="H42" s="320" t="s">
        <v>127</v>
      </c>
      <c r="I42" s="321"/>
      <c r="J42" s="44"/>
      <c r="K42" s="76"/>
      <c r="O42" s="35"/>
    </row>
    <row r="43" spans="2:15" ht="15.75" thickBot="1">
      <c r="B43" s="279"/>
      <c r="C43" s="152"/>
      <c r="D43" s="285">
        <f>F37</f>
        <v>1014.5799999999999</v>
      </c>
      <c r="E43" s="273" t="s">
        <v>130</v>
      </c>
      <c r="F43" s="284">
        <f>(800/D43)*6</f>
        <v>4.731021703562066</v>
      </c>
      <c r="G43" s="283" t="s">
        <v>148</v>
      </c>
      <c r="H43" s="322" t="s">
        <v>159</v>
      </c>
      <c r="I43" s="135"/>
      <c r="J43" s="319"/>
      <c r="K43" s="76"/>
      <c r="O43" s="35"/>
    </row>
    <row r="44" spans="2:15" ht="15.75" thickBot="1">
      <c r="B44" s="279"/>
      <c r="C44" s="152"/>
      <c r="D44" s="285"/>
      <c r="E44" s="273"/>
      <c r="F44" s="284"/>
      <c r="G44" s="283"/>
      <c r="H44" s="271"/>
      <c r="I44" s="134"/>
      <c r="J44" s="44"/>
      <c r="K44" s="76"/>
      <c r="M44" s="165"/>
      <c r="O44" s="35"/>
    </row>
    <row r="45" spans="2:15" ht="15.75" thickBot="1">
      <c r="B45" s="156"/>
      <c r="C45" s="325" t="s">
        <v>156</v>
      </c>
      <c r="D45" s="171">
        <v>0.75</v>
      </c>
      <c r="E45" s="173" t="s">
        <v>95</v>
      </c>
      <c r="F45" s="344" t="s">
        <v>155</v>
      </c>
      <c r="G45" s="345"/>
      <c r="H45" s="307" t="s">
        <v>136</v>
      </c>
      <c r="I45" s="247">
        <f>((0.85*(D24+D25))*D46)/D47</f>
        <v>102.79069767441861</v>
      </c>
      <c r="J45" s="44"/>
      <c r="K45" s="76"/>
      <c r="O45" s="35"/>
    </row>
    <row r="46" spans="2:15" ht="15.75" thickBot="1">
      <c r="B46" s="279"/>
      <c r="C46" s="174" t="s">
        <v>150</v>
      </c>
      <c r="D46" s="171">
        <v>65</v>
      </c>
      <c r="E46" s="309" t="s">
        <v>0</v>
      </c>
      <c r="F46" s="172">
        <f>(D24+D25)/D47</f>
        <v>1.8604651162790697</v>
      </c>
      <c r="G46" s="346" t="s">
        <v>95</v>
      </c>
      <c r="H46" s="310"/>
      <c r="I46" s="311"/>
      <c r="J46" s="44"/>
      <c r="K46" s="76"/>
      <c r="O46" s="35"/>
    </row>
    <row r="47" spans="2:15" ht="15.75" thickBot="1">
      <c r="B47" s="279"/>
      <c r="C47" s="175" t="s">
        <v>104</v>
      </c>
      <c r="D47" s="171">
        <v>4.3</v>
      </c>
      <c r="E47" s="158" t="s">
        <v>94</v>
      </c>
      <c r="F47" s="323"/>
      <c r="G47" s="324"/>
      <c r="H47" s="310"/>
      <c r="I47" s="311"/>
      <c r="J47" s="44"/>
      <c r="K47" s="76"/>
      <c r="O47" s="35"/>
    </row>
    <row r="48" spans="2:9" ht="15.75" thickBot="1">
      <c r="B48" s="157"/>
      <c r="C48" s="175" t="s">
        <v>153</v>
      </c>
      <c r="D48" s="172">
        <f>D45*D47</f>
        <v>3.2249999999999996</v>
      </c>
      <c r="E48" s="158" t="s">
        <v>154</v>
      </c>
      <c r="F48" s="327">
        <f>(D24+D25)-D48</f>
        <v>4.775</v>
      </c>
      <c r="G48" s="328" t="s">
        <v>157</v>
      </c>
      <c r="H48" s="326"/>
      <c r="I48" s="311"/>
    </row>
    <row r="49" spans="2:9" ht="13.5" thickBot="1">
      <c r="B49" s="296">
        <v>9</v>
      </c>
      <c r="C49" s="189" t="s">
        <v>151</v>
      </c>
      <c r="D49" s="131"/>
      <c r="E49" s="131"/>
      <c r="F49" s="179">
        <f>F37-(D45*(D48*(6+0.11)))</f>
        <v>999.8014374999999</v>
      </c>
      <c r="G49" s="178"/>
      <c r="H49" s="133">
        <f>H37-((F37-F49)*G24)</f>
        <v>82107.76806249999</v>
      </c>
      <c r="I49" s="132">
        <f>H49/F49</f>
        <v>82.12407482410727</v>
      </c>
    </row>
    <row r="50" spans="2:9" ht="13.5" thickBot="1">
      <c r="B50"/>
      <c r="C50" s="339" t="s">
        <v>139</v>
      </c>
      <c r="D50" s="339"/>
      <c r="E50" s="339"/>
      <c r="F50" s="314">
        <f>((F49/153.1*391/1.627)^0.5)*1.2</f>
        <v>47.53846247607265</v>
      </c>
      <c r="G50" s="315" t="s">
        <v>0</v>
      </c>
      <c r="H50" s="169" t="s">
        <v>77</v>
      </c>
      <c r="I50" s="135">
        <f>((I49-H57)/(G62))*100</f>
        <v>30.345405913353286</v>
      </c>
    </row>
    <row r="51" spans="2:6" ht="12.75">
      <c r="B51"/>
      <c r="F51" s="121"/>
    </row>
    <row r="52" spans="2:4" ht="12.75">
      <c r="B52"/>
      <c r="D52" s="52"/>
    </row>
    <row r="53" spans="2:4" ht="12.75">
      <c r="B53"/>
      <c r="D53" s="347" t="s">
        <v>152</v>
      </c>
    </row>
    <row r="54" spans="2:12" ht="12.75">
      <c r="B54"/>
      <c r="C54" s="315" t="s">
        <v>158</v>
      </c>
      <c r="D54" s="52"/>
      <c r="L54" s="165"/>
    </row>
    <row r="55" spans="2:9" ht="12.75">
      <c r="B55"/>
      <c r="E55" s="165"/>
      <c r="F55" s="77" t="s">
        <v>111</v>
      </c>
      <c r="G55" s="154">
        <f>((H55-H57)/(G62))*100</f>
        <v>37.88522269410868</v>
      </c>
      <c r="H55" s="167">
        <v>87</v>
      </c>
      <c r="I55" s="123" t="s">
        <v>68</v>
      </c>
    </row>
    <row r="56" spans="2:9" ht="12.75">
      <c r="B56"/>
      <c r="E56" s="165"/>
      <c r="F56" s="77"/>
      <c r="G56" s="154"/>
      <c r="H56" s="167"/>
      <c r="I56" s="123"/>
    </row>
    <row r="57" spans="2:18" ht="12.75">
      <c r="B57"/>
      <c r="D57" s="76" t="s">
        <v>115</v>
      </c>
      <c r="E57" s="138"/>
      <c r="F57" s="138"/>
      <c r="G57" s="138"/>
      <c r="H57" s="168">
        <v>62.5</v>
      </c>
      <c r="I57" s="76" t="s">
        <v>68</v>
      </c>
      <c r="R57" s="58"/>
    </row>
    <row r="58" spans="2:18" ht="12.75">
      <c r="B58"/>
      <c r="D58" s="76"/>
      <c r="E58" s="138"/>
      <c r="F58" s="138"/>
      <c r="G58" s="138"/>
      <c r="H58" s="138"/>
      <c r="I58" s="138"/>
      <c r="R58" s="58"/>
    </row>
    <row r="59" spans="2:18" ht="12.75">
      <c r="B59"/>
      <c r="G59" s="280" t="s">
        <v>128</v>
      </c>
      <c r="H59" s="52"/>
      <c r="M59" s="59"/>
      <c r="N59" s="35"/>
      <c r="O59" s="35"/>
      <c r="P59" s="35"/>
      <c r="R59" s="44"/>
    </row>
    <row r="60" spans="2:20" ht="12.75">
      <c r="B60"/>
      <c r="F60" s="56" t="s">
        <v>8</v>
      </c>
      <c r="G60" s="166">
        <v>60</v>
      </c>
      <c r="H60" s="52"/>
      <c r="M60" s="35"/>
      <c r="N60" s="35"/>
      <c r="O60" s="60"/>
      <c r="P60" s="61"/>
      <c r="Q60" s="35"/>
      <c r="R60" s="49"/>
      <c r="S60" s="35"/>
      <c r="T60" s="35"/>
    </row>
    <row r="61" spans="6:20" ht="12.75">
      <c r="F61" s="56" t="s">
        <v>45</v>
      </c>
      <c r="G61" s="166">
        <v>67.8</v>
      </c>
      <c r="H61" s="52" t="s">
        <v>163</v>
      </c>
      <c r="M61" s="35"/>
      <c r="N61" s="58"/>
      <c r="O61" s="58"/>
      <c r="P61" s="58"/>
      <c r="Q61" s="35"/>
      <c r="R61" s="49"/>
      <c r="S61" s="35"/>
      <c r="T61" s="35"/>
    </row>
    <row r="62" spans="6:20" ht="11.25" customHeight="1">
      <c r="F62" s="77" t="s">
        <v>119</v>
      </c>
      <c r="G62" s="155">
        <f>G60+((G61-G60)*('Design Data'!K6/'Design Data'!K4))</f>
        <v>64.66901408450704</v>
      </c>
      <c r="H62" s="123"/>
      <c r="K62" s="30"/>
      <c r="L62" s="30"/>
      <c r="M62" s="58"/>
      <c r="N62" s="58"/>
      <c r="O62" s="63"/>
      <c r="P62" s="63"/>
      <c r="Q62" s="58"/>
      <c r="R62" s="35"/>
      <c r="S62" s="62"/>
      <c r="T62" s="35"/>
    </row>
    <row r="63" spans="6:20" ht="12.75">
      <c r="F63" s="45"/>
      <c r="G63" s="130"/>
      <c r="H63" s="123"/>
      <c r="M63" s="64"/>
      <c r="N63" s="58"/>
      <c r="O63" s="63"/>
      <c r="P63" s="63"/>
      <c r="Q63" s="49"/>
      <c r="R63" s="49"/>
      <c r="S63" s="35"/>
      <c r="T63" s="35"/>
    </row>
    <row r="64" spans="4:20" ht="12.75">
      <c r="D64" s="57" t="s">
        <v>112</v>
      </c>
      <c r="F64" s="45"/>
      <c r="G64" s="76"/>
      <c r="H64" s="155"/>
      <c r="I64" s="76"/>
      <c r="M64" s="35"/>
      <c r="N64" s="58"/>
      <c r="O64" s="63"/>
      <c r="P64" s="63"/>
      <c r="Q64" s="49"/>
      <c r="R64" s="49"/>
      <c r="S64" s="35"/>
      <c r="T64" s="35"/>
    </row>
    <row r="65" spans="3:20" ht="12.75">
      <c r="C65" s="65"/>
      <c r="M65" s="35"/>
      <c r="N65" s="35"/>
      <c r="O65" s="35"/>
      <c r="P65" s="35"/>
      <c r="Q65" s="49"/>
      <c r="R65" s="49"/>
      <c r="S65" s="35"/>
      <c r="T65" s="35"/>
    </row>
    <row r="66" spans="11:20" ht="12.75">
      <c r="K66" s="30"/>
      <c r="L66" s="30"/>
      <c r="M66" s="30"/>
      <c r="N66" s="31"/>
      <c r="O66" s="66"/>
      <c r="P66" s="66"/>
      <c r="Q66" s="35"/>
      <c r="R66" s="49"/>
      <c r="S66" s="62"/>
      <c r="T66" s="35"/>
    </row>
    <row r="67" spans="5:18" ht="12.75">
      <c r="E67" s="76"/>
      <c r="M67" s="67"/>
      <c r="N67" s="31"/>
      <c r="O67" s="66"/>
      <c r="P67" s="66"/>
      <c r="Q67" s="44"/>
      <c r="R67" s="44"/>
    </row>
    <row r="68" spans="3:18" ht="12.75">
      <c r="C68" s="65"/>
      <c r="N68" s="31"/>
      <c r="O68" s="66"/>
      <c r="P68" s="66"/>
      <c r="Q68" s="44"/>
      <c r="R68" s="44"/>
    </row>
    <row r="69" spans="4:17" ht="12.75">
      <c r="D69" s="35"/>
      <c r="E69" s="35"/>
      <c r="Q69" s="44"/>
    </row>
    <row r="70" spans="4:18" ht="12.75">
      <c r="D70" s="58"/>
      <c r="E70" s="58"/>
      <c r="F70" s="58"/>
      <c r="K70" s="30"/>
      <c r="L70" s="30"/>
      <c r="M70" s="30"/>
      <c r="N70" s="30"/>
      <c r="O70" s="66"/>
      <c r="P70" s="66"/>
      <c r="R70" s="44"/>
    </row>
    <row r="71" spans="3:18" ht="12.75">
      <c r="C71" s="65"/>
      <c r="D71" s="30"/>
      <c r="E71" s="30"/>
      <c r="F71" s="30"/>
      <c r="M71" s="67"/>
      <c r="N71" s="30"/>
      <c r="O71" s="66"/>
      <c r="P71" s="66"/>
      <c r="Q71" s="44"/>
      <c r="R71" s="44"/>
    </row>
    <row r="72" spans="3:18" ht="12.75">
      <c r="C72" s="65"/>
      <c r="D72" s="30"/>
      <c r="E72" s="30"/>
      <c r="F72" s="30"/>
      <c r="N72" s="30"/>
      <c r="O72" s="66"/>
      <c r="P72" s="66"/>
      <c r="Q72" s="44"/>
      <c r="R72" s="44"/>
    </row>
    <row r="73" spans="3:17" ht="12.75">
      <c r="C73" s="65"/>
      <c r="D73" s="61"/>
      <c r="E73" s="61"/>
      <c r="F73" s="61"/>
      <c r="K73" s="65"/>
      <c r="L73" s="65"/>
      <c r="M73" s="65"/>
      <c r="N73" s="65"/>
      <c r="O73" s="65"/>
      <c r="P73" s="65"/>
      <c r="Q73" s="44"/>
    </row>
    <row r="74" spans="4:17" ht="12.75">
      <c r="D74" s="58"/>
      <c r="E74" s="58"/>
      <c r="F74" s="58"/>
      <c r="K74" s="30"/>
      <c r="L74" s="30"/>
      <c r="M74" s="30"/>
      <c r="N74" s="30"/>
      <c r="O74" s="66"/>
      <c r="P74" s="68"/>
      <c r="Q74" s="65"/>
    </row>
    <row r="75" spans="4:17" ht="12.75">
      <c r="D75" s="49"/>
      <c r="E75" s="49"/>
      <c r="F75" s="44"/>
      <c r="M75" s="30"/>
      <c r="N75" s="67"/>
      <c r="O75" s="66"/>
      <c r="P75" s="68"/>
      <c r="Q75" s="44"/>
    </row>
    <row r="76" spans="13:17" ht="12.75">
      <c r="M76" s="30"/>
      <c r="O76" s="66"/>
      <c r="P76" s="68"/>
      <c r="Q76" s="44"/>
    </row>
    <row r="77" spans="15:17" ht="12.75">
      <c r="O77" s="66"/>
      <c r="Q77" s="44"/>
    </row>
    <row r="78" spans="11:16" ht="12.75">
      <c r="K78" s="30"/>
      <c r="L78" s="30"/>
      <c r="M78" s="31"/>
      <c r="N78" s="30"/>
      <c r="O78" s="68"/>
      <c r="P78" s="68"/>
    </row>
    <row r="79" spans="13:17" ht="12.75">
      <c r="M79" s="31"/>
      <c r="N79" s="67"/>
      <c r="O79" s="68"/>
      <c r="P79" s="68"/>
      <c r="Q79" s="44"/>
    </row>
    <row r="80" spans="13:17" ht="12.75">
      <c r="M80" s="31"/>
      <c r="O80" s="68"/>
      <c r="P80" s="68"/>
      <c r="Q80" s="44"/>
    </row>
    <row r="81" ht="12.75">
      <c r="Q81" s="44"/>
    </row>
    <row r="82" spans="11:16" ht="12.75">
      <c r="K82" s="30"/>
      <c r="L82" s="30"/>
      <c r="M82" s="30"/>
      <c r="N82" s="30"/>
      <c r="O82" s="68"/>
      <c r="P82" s="68"/>
    </row>
    <row r="83" spans="2:17" ht="12.75">
      <c r="B83"/>
      <c r="M83" s="30"/>
      <c r="N83" s="67"/>
      <c r="O83" s="68"/>
      <c r="P83" s="68"/>
      <c r="Q83" s="44"/>
    </row>
    <row r="84" spans="13:17" ht="12.75">
      <c r="M84" s="30"/>
      <c r="O84" s="68"/>
      <c r="P84" s="68"/>
      <c r="Q84" s="44"/>
    </row>
    <row r="85" ht="12.75">
      <c r="Q85" s="44"/>
    </row>
  </sheetData>
  <mergeCells count="8">
    <mergeCell ref="C2:I2"/>
    <mergeCell ref="C39:E39"/>
    <mergeCell ref="C50:E50"/>
    <mergeCell ref="C40:E40"/>
    <mergeCell ref="D32:E32"/>
    <mergeCell ref="D33:E33"/>
    <mergeCell ref="D34:E34"/>
    <mergeCell ref="F45:G45"/>
  </mergeCells>
  <printOptions gridLines="1" headings="1"/>
  <pageMargins left="0.53" right="0.37" top="0.72" bottom="0.25" header="0.5" footer="0.5"/>
  <pageSetup blackAndWhite="1" fitToHeight="1" fitToWidth="1" horizontalDpi="300" verticalDpi="300" orientation="landscape" scale="94" r:id="rId3"/>
  <headerFooter alignWithMargins="0">
    <oddHeader>&amp;C&amp;A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Shultz</dc:creator>
  <cp:keywords/>
  <dc:description/>
  <cp:lastModifiedBy>Ralph Shultz</cp:lastModifiedBy>
  <cp:lastPrinted>2002-10-25T09:15:47Z</cp:lastPrinted>
  <dcterms:created xsi:type="dcterms:W3CDTF">1998-06-08T17:50:27Z</dcterms:created>
  <dcterms:modified xsi:type="dcterms:W3CDTF">2003-04-30T17:30:24Z</dcterms:modified>
  <cp:category/>
  <cp:version/>
  <cp:contentType/>
  <cp:contentStatus/>
</cp:coreProperties>
</file>